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000" windowHeight="5130" tabRatio="418" activeTab="0"/>
  </bookViews>
  <sheets>
    <sheet name="PL01" sheetId="1" r:id="rId1"/>
    <sheet name="PL02" sheetId="2" r:id="rId2"/>
    <sheet name="Sheet2" sheetId="3" r:id="rId3"/>
    <sheet name="Sheet1" sheetId="4" r:id="rId4"/>
  </sheets>
  <definedNames>
    <definedName name="_xlnm.Print_Area" localSheetId="0">'PL01'!$A$1:$L$59</definedName>
    <definedName name="_xlnm.Print_Area" localSheetId="1">'PL02'!$A$1:$Z$18</definedName>
  </definedNames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I7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theo VB 954/UBND-KTN ngày 08/6/2017
</t>
        </r>
      </text>
    </comment>
    <comment ref="J7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theo VB 954/UBND-KTN ngày 08/6/2017
</t>
        </r>
      </text>
    </comment>
    <comment ref="K7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theo VB 954/UBND-KTN ngày 08/6/2017
</t>
        </r>
      </text>
    </comment>
  </commentList>
</comments>
</file>

<file path=xl/comments4.xml><?xml version="1.0" encoding="utf-8"?>
<comments xmlns="http://schemas.openxmlformats.org/spreadsheetml/2006/main">
  <authors>
    <author>Admin</author>
  </authors>
  <commentList>
    <comment ref="I6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theo VB 954/UBND-KTN ngày 08/6/2017
</t>
        </r>
      </text>
    </comment>
    <comment ref="J6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theo VB 954/UBND-KTN ngày 08/6/2017
</t>
        </r>
      </text>
    </comment>
    <comment ref="K6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theo VB 954/UBND-KTN ngày 08/6/2017
</t>
        </r>
      </text>
    </comment>
  </commentList>
</comments>
</file>

<file path=xl/sharedStrings.xml><?xml version="1.0" encoding="utf-8"?>
<sst xmlns="http://schemas.openxmlformats.org/spreadsheetml/2006/main" count="302" uniqueCount="154">
  <si>
    <t>A</t>
  </si>
  <si>
    <t>B</t>
  </si>
  <si>
    <t>Nội dung</t>
  </si>
  <si>
    <t xml:space="preserve">So sánh </t>
  </si>
  <si>
    <t>THU NSĐP ĐƯỢC HƯỞNG THEO PHÂN CẤP (bao gồm XSKT)</t>
  </si>
  <si>
    <t>C</t>
  </si>
  <si>
    <t>I</t>
  </si>
  <si>
    <t>Tổng dư nợ đầu năm</t>
  </si>
  <si>
    <t>Vay đầu tư cụm tuyến DCVL đồng bằng sông Cửu Long</t>
  </si>
  <si>
    <t>Phát hành Trái phiếu chính quyền địa phương</t>
  </si>
  <si>
    <t>Vay lại từ nguồn Chính phủ vay ngoài nước</t>
  </si>
  <si>
    <t>II</t>
  </si>
  <si>
    <t>III</t>
  </si>
  <si>
    <t xml:space="preserve">Trả nợ gốc vay trong năm </t>
  </si>
  <si>
    <t>Theo nguồn vốn vay</t>
  </si>
  <si>
    <t>-</t>
  </si>
  <si>
    <t>+</t>
  </si>
  <si>
    <t>Trái phiếu chính quyền địa phương</t>
  </si>
  <si>
    <t>IV</t>
  </si>
  <si>
    <t>Tổng dư nợ cuối năm</t>
  </si>
  <si>
    <t>D</t>
  </si>
  <si>
    <t>Đvt: Triệu đồng.</t>
  </si>
  <si>
    <t>Stt</t>
  </si>
  <si>
    <t>Tên dự án/ Chương trình/ Hiệp định vay</t>
  </si>
  <si>
    <t xml:space="preserve">Chủ dự án </t>
  </si>
  <si>
    <t>Quyết định</t>
  </si>
  <si>
    <t>Tổng mức đầu tư</t>
  </si>
  <si>
    <t>Ngày ký hiệp định vay</t>
  </si>
  <si>
    <t>Tên nhà tài trợ</t>
  </si>
  <si>
    <t>Giá trị
hiệp định vay</t>
  </si>
  <si>
    <t>Cơ chế tài chính</t>
  </si>
  <si>
    <t>Tổng số</t>
  </si>
  <si>
    <t>Trong đó</t>
  </si>
  <si>
    <t>Số tiền</t>
  </si>
  <si>
    <t>Loại tiền</t>
  </si>
  <si>
    <t>Địa phương vay lại</t>
  </si>
  <si>
    <t>Năm 2017</t>
  </si>
  <si>
    <t>Năm 2020</t>
  </si>
  <si>
    <t>Năm 2021</t>
  </si>
  <si>
    <t>Vốn đối ứng</t>
  </si>
  <si>
    <t>Vốn ODA hỗ trợ chính thức không hoàn lại</t>
  </si>
  <si>
    <t>Vay ưu đãi vốn ODA</t>
  </si>
  <si>
    <t>TỔNG CỘNG</t>
  </si>
  <si>
    <t>11/03/2016</t>
  </si>
  <si>
    <t>WB</t>
  </si>
  <si>
    <t>Triệu USD</t>
  </si>
  <si>
    <t>TH năm 2016</t>
  </si>
  <si>
    <t xml:space="preserve">Kế hoạch </t>
  </si>
  <si>
    <t>Dự án đầu tư trang thiết bị cho Bệnh viện Sản Nhi AG</t>
  </si>
  <si>
    <t>Thu nợ bán nền chương trình cụm tuyến DCVL</t>
  </si>
  <si>
    <t>Lãi và phí phải trả</t>
  </si>
  <si>
    <t>Ku
Wait</t>
  </si>
  <si>
    <t>Lãi và phí địa phương phải trả cho khoản vay lại</t>
  </si>
  <si>
    <t xml:space="preserve"> THU NGÂN SÁCH ĐỊA PHƯƠNG </t>
  </si>
  <si>
    <t xml:space="preserve"> CHI CÂN ĐỐI NGÂN SÁCH ĐỊA PHƯƠNG</t>
  </si>
  <si>
    <t xml:space="preserve"> HẠN MỨC DƯ NỢ VAY TỐI ĐA CỦA NSĐP THEO QUY ĐỊNH</t>
  </si>
  <si>
    <t>KẾ HOẠCH VAY, TRẢ NỢ GỐC</t>
  </si>
  <si>
    <t>Vay trong nước (Vay Ngân hàng phát triển Việt Nam (1)</t>
  </si>
  <si>
    <t xml:space="preserve">Từ nguồn vay để trả nợ gốc </t>
  </si>
  <si>
    <t>Bội thu ngân sách địa phương</t>
  </si>
  <si>
    <t xml:space="preserve"> TỔNG MỨC VAY TRONG NĂM</t>
  </si>
  <si>
    <t xml:space="preserve"> Theo mục đích vay</t>
  </si>
  <si>
    <t>Vay để bù đắp bội chi</t>
  </si>
  <si>
    <t xml:space="preserve">Vay để trả nợ gốc </t>
  </si>
  <si>
    <t xml:space="preserve"> Theo nguồn vay</t>
  </si>
  <si>
    <t>E</t>
  </si>
  <si>
    <t>Tăng thu tiết kiệm chi</t>
  </si>
  <si>
    <t>G</t>
  </si>
  <si>
    <t>TRẢ NỢ LÃI, PHÍ</t>
  </si>
  <si>
    <t xml:space="preserve"> Chương trình KCHKM và đường giao thông nông thôn, làng nghề . . .</t>
  </si>
  <si>
    <t>Vay trong nước (Vay Ngân hàng phát triển Việt Nam) (1)</t>
  </si>
  <si>
    <t>Thực hiện năm 2017</t>
  </si>
  <si>
    <t>3=2-1</t>
  </si>
  <si>
    <t xml:space="preserve">NSTW cấp phát </t>
  </si>
  <si>
    <t>Dự kiến
năm 2020</t>
  </si>
  <si>
    <t>LẬP BIỂU</t>
  </si>
  <si>
    <t>Phạm Hữu Tín</t>
  </si>
  <si>
    <t>PHÒNG TC ĐẦU TƯ</t>
  </si>
  <si>
    <t>Dự kiến
năm 2021</t>
  </si>
  <si>
    <t>Sở NN&amp;PTNT</t>
  </si>
  <si>
    <t>Lê Quốc Bình</t>
  </si>
  <si>
    <t>An Giang, ngày 18  tháng 7 năm 2018</t>
  </si>
  <si>
    <t xml:space="preserve"> + Vay IDA</t>
  </si>
  <si>
    <t xml:space="preserve"> + Vay IDA SUF</t>
  </si>
  <si>
    <t>Dự kiến
năm 2022</t>
  </si>
  <si>
    <t>BVĐK Khu vực tỉnh</t>
  </si>
  <si>
    <t>Sở TN&amp;MT</t>
  </si>
  <si>
    <t>Vay thực hiện chương trình KCHKM và đường giao thông nông thôn</t>
  </si>
  <si>
    <t>Tỷ lệ mức dư nợ cuối kỳ so với mức dư nợ vay tối đa của NSĐP (%)</t>
  </si>
  <si>
    <t>(Kèm theo Tờ trình số           /TTr-UBND ngày ……./ 11/2018 của Ủy ban nhân dân tỉnh An Giang)</t>
  </si>
  <si>
    <t>2251/QĐ-UBND 14/9/2018</t>
  </si>
  <si>
    <t>Phụ lục 01</t>
  </si>
  <si>
    <t>Phụ lục 02</t>
  </si>
  <si>
    <t>BỘI CHI NSĐP/BỘI THU NGÂN SÁCH ĐỊA PHƯƠNG</t>
  </si>
  <si>
    <t>Cung cấp trang thiết bị y tế Bệnh viện đa khoa khu vực Châu Đốc</t>
  </si>
  <si>
    <r>
      <t xml:space="preserve">   </t>
    </r>
    <r>
      <rPr>
        <b/>
        <i/>
        <sz val="14"/>
        <rFont val="Times New Roman"/>
        <family val="1"/>
      </rPr>
      <t>Ghi chú:</t>
    </r>
    <r>
      <rPr>
        <i/>
        <sz val="14"/>
        <rFont val="Times New Roman"/>
        <family val="1"/>
      </rPr>
      <t xml:space="preserve"> (1) Bao gồm khoản vay thực hiện Chương trình kiên cố hoá kênh mương, giao thông nông thôn, CSHT nuôi trồng thuỷ sản, cơ sở hạ tầng làng nghề ở nông thôn; khoản vay đầu tư tôn nền vượt lũ để xây dựng cụm tuyến dân cư vùng ngập lũ sâu ĐBSCL</t>
    </r>
  </si>
  <si>
    <t>BỘI CHI VÀ PHƯƠNG ÁN VAY - TRẢ NỢ NGÂN SÁCH ĐỊA PHƯƠNG NĂM 2020</t>
  </si>
  <si>
    <t>Ước TH năm 2019</t>
  </si>
  <si>
    <t>Dự toán
năm 2020</t>
  </si>
  <si>
    <t>Đvt: Triệu đồng</t>
  </si>
  <si>
    <t>Thực hiện 
năm 2018</t>
  </si>
  <si>
    <t>3215/QĐ-UBND ngày 27/10/2017; 1854/QĐ-UBND ngày 31/7/2019</t>
  </si>
  <si>
    <t>2841/QĐ-UBND ngày 26/9/2017; 2595/QĐ-UBND ngày 22/10/2018</t>
  </si>
  <si>
    <t xml:space="preserve">Tiểu dự án: Tăng cường khả năng thích ứng và quản lý nước cho vùng thượng nguồn sông Cửu Long, huyện An Phú, thuộc dự án: Chống chịu khí hậu tổng hợp và sinh kế bền vững đồng bằng sông Cửu Long </t>
  </si>
  <si>
    <t>Mở rộng nâng cấp đô thị Việt Nam - Tiểu dự án thành phố Long Xuyên, tỉnh An Giang</t>
  </si>
  <si>
    <t>Dự án "Tăng cường quản lý đất đai và cơ sở dữ liệu đất đai tỉnh An Giang" (VILG)</t>
  </si>
  <si>
    <t>(Kèm theo Tờ trình số ……….. /TTr-UBND ngày ……./11/2019 của Ủy ban nhân dân tỉnh An Giang)</t>
  </si>
  <si>
    <t>UBND TP. Long Xuyên</t>
  </si>
  <si>
    <t>Kế hoạch vay lại năm 2020</t>
  </si>
  <si>
    <t>Vốn khác</t>
  </si>
  <si>
    <t>Kết dư ngân sách cấp tỉnh</t>
  </si>
  <si>
    <t>Vay trong nước khác (Vay Ngân hàng phát triển Việt Nam (1)</t>
  </si>
  <si>
    <t>Vốn khác (Vay Ngân hàng phát triển Việt Nam (1)</t>
  </si>
  <si>
    <t>Theo nguồn trả nợ</t>
  </si>
  <si>
    <t>Ngân sách địa phương</t>
  </si>
  <si>
    <t xml:space="preserve">NS tỉnh ghi trả nợ </t>
  </si>
  <si>
    <t xml:space="preserve">Thu nợ NS huyện trả nợ </t>
  </si>
  <si>
    <t>Dân cư vượt lũ</t>
  </si>
  <si>
    <t>Vay trong nước khác</t>
  </si>
  <si>
    <t xml:space="preserve">Theo nguồn trả nợ </t>
  </si>
  <si>
    <t>Nguồn NSĐP</t>
  </si>
  <si>
    <t>Thu nợ NS huyện trả nợ</t>
  </si>
  <si>
    <t>Tỷ lệ mức dư nợ đầu kỳ so với mức dư nợ vay tối đa của NSĐP (%)</t>
  </si>
  <si>
    <t>Tăng thu, tiết kiệm chi</t>
  </si>
  <si>
    <t xml:space="preserve">Tổng mức vay trong năm </t>
  </si>
  <si>
    <r>
      <t xml:space="preserve">   </t>
    </r>
    <r>
      <rPr>
        <b/>
        <i/>
        <sz val="14"/>
        <color indexed="9"/>
        <rFont val="Times New Roman"/>
        <family val="1"/>
      </rPr>
      <t>Ghi chú:</t>
    </r>
    <r>
      <rPr>
        <i/>
        <sz val="14"/>
        <color indexed="9"/>
        <rFont val="Times New Roman"/>
        <family val="1"/>
      </rPr>
      <t xml:space="preserve"> (1) Bao gồm khoản vay thực hiện Chương trình kiên cố hoá kênh mương, giao thông nông thôn, CSHT nuôi trồng thuỷ sản, cơ sở hạ tầng làng nghề ở nông thôn; khoản vay đầu tư tôn nền vượt lũ để xây dựng cụm tuyến dân cư vùng ngập lũ sâu ĐBSCL</t>
    </r>
  </si>
  <si>
    <t>Chương trình KCHKM và đường giao thông nông thôn</t>
  </si>
  <si>
    <t>Bội chi</t>
  </si>
  <si>
    <t>Bội thu</t>
  </si>
  <si>
    <t>BỘI CHI VÀ PHƯƠNG ÁN VAY - TRẢ NỢ NGÂN SÁCH ĐỊA PHƯƠNG NĂM 2021</t>
  </si>
  <si>
    <t>(Kèm theo Tờ trình số ……….. /TTr-UBND ngày ……./11/2020 của Ủy ban nhân dân tỉnh An Giang)</t>
  </si>
  <si>
    <t>Ước TH năm 2020</t>
  </si>
  <si>
    <t>Dự toán
năm 2021</t>
  </si>
  <si>
    <t>KẾ HOẠCH VAY LẠI VỐN VAY ODA, VAY ƯU ĐÃI NƯỚC NGOÀI CỦA CHÍNH PHỦ NĂM 2021</t>
  </si>
  <si>
    <t>Lũy kế dư nợ địa phương vay lại vốn nước ngoài của Chính phủ đến cuối năm 2019</t>
  </si>
  <si>
    <t>Ước thực hiện năm 2020</t>
  </si>
  <si>
    <t>Kế hoạch vay lại năm 2021</t>
  </si>
  <si>
    <t>Chính phủ Áo</t>
  </si>
  <si>
    <t>Triệu EUR</t>
  </si>
  <si>
    <t>Trả nợ</t>
  </si>
  <si>
    <t>Tổng</t>
  </si>
  <si>
    <t>Nợ gốc</t>
  </si>
  <si>
    <t>Trong đó:</t>
  </si>
  <si>
    <t>Bệnh viện Sản nhi</t>
  </si>
  <si>
    <t>BỘI CHI NGÂN SÁCH ĐỊA PHƯƠNG</t>
  </si>
  <si>
    <t>Tổng vốn dự kiến vay lại vốn vay nước ngoài của Chính phủ 2017-2025</t>
  </si>
  <si>
    <t>Kế hoạch vay 05 năm giai đoạn 2021-2025</t>
  </si>
  <si>
    <t>145/QĐ-TTg ngày 21/01/2020</t>
  </si>
  <si>
    <t>1858/QĐ-UBND ngày 07/7/2016; 3139/QĐ-UBND ngày 12/12/2018; 3237/QĐ-UBND ngày 31/12/2019</t>
  </si>
  <si>
    <t xml:space="preserve">THU NGÂN SÁCH ĐỊA PHƯƠNG </t>
  </si>
  <si>
    <t>CHI CÂN ĐỐI NGÂN SÁCH ĐỊA PHƯƠNG</t>
  </si>
  <si>
    <t>HẠN MỨC DƯ NỢ VAY TỐI ĐA CỦA NSĐP THEO QUY ĐỊNH</t>
  </si>
  <si>
    <t>(Kèm theo Nghị quyết số              /NQ-HĐND ngày          tháng 12 năm 2020 của Hội đồng nhân dân tỉnh An Giang)</t>
  </si>
  <si>
    <r>
      <t xml:space="preserve">Phụ lục 01 
</t>
    </r>
    <r>
      <rPr>
        <sz val="18"/>
        <rFont val="Times New Roman"/>
        <family val="1"/>
      </rPr>
      <t>(theo Biểu mẫu số 18, Nghị định số 31/2017/NĐ-CP ngày 23/3/2017 của Chính phủ)</t>
    </r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</si>
</sst>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_-;\-* #,##0_-;_-* &quot;-&quot;_-;_-@_-"/>
    <numFmt numFmtId="170" formatCode="_-* #,##0.00\ &quot;₫&quot;_-;\-* #,##0.00\ &quot;₫&quot;_-;_-* &quot;-&quot;??\ &quot;₫&quot;_-;_-@_-"/>
    <numFmt numFmtId="171" formatCode="_-* #,##0.00_-;\-* #,##0.00_-;_-* &quot;-&quot;??_-;_-@_-"/>
    <numFmt numFmtId="172" formatCode="_-* #,##0\ _₫_-;\-* #,##0\ _₫_-;_-* &quot;-&quot;\ _₫_-;_-@_-"/>
    <numFmt numFmtId="173" formatCode="_-* #,##0.00\ _₫_-;\-* #,##0.00\ _₫_-;_-* &quot;-&quot;??\ _₫_-;_-@_-"/>
    <numFmt numFmtId="174" formatCode="_-* #,##0.0\ _₫_-;\-* #,##0.0\ _₫_-;_-* &quot;-&quot;??\ _₫_-;_-@_-"/>
    <numFmt numFmtId="175" formatCode="_-* #,##0\ _₫_-;\-* #,##0\ _₫_-;_-* &quot;-&quot;??\ _₫_-;_-@_-"/>
    <numFmt numFmtId="176" formatCode="_(* #,##0_);_(* \(#,##0\);_(* &quot;-&quot;??_);_(@_)"/>
    <numFmt numFmtId="177" formatCode="#,###;[Red]\-#,###"/>
    <numFmt numFmtId="178" formatCode="_-* #,##0.000\ _₫_-;\-* #,##0.000\ _₫_-;_-* &quot;-&quot;??\ _₫_-;_-@_-"/>
    <numFmt numFmtId="179" formatCode="_-* #,##0.0000\ _₫_-;\-* #,##0.0000\ _₫_-;_-* &quot;-&quot;??\ _₫_-;_-@_-"/>
    <numFmt numFmtId="180" formatCode="#,##0.000"/>
    <numFmt numFmtId="181" formatCode="_-* #,##0.000\ _₫_-;\-* #,##0.000\ _₫_-;_-* &quot;-&quot;???\ _₫_-;_-@_-"/>
    <numFmt numFmtId="182" formatCode="[$-42A]dd\ mmmm\ yyyy"/>
    <numFmt numFmtId="183" formatCode="[$-42A]h:mm:ss\ AM/PM"/>
    <numFmt numFmtId="184" formatCode="0.0"/>
    <numFmt numFmtId="185" formatCode="#,##0.0"/>
    <numFmt numFmtId="186" formatCode="_-* #,##0.0\ _₫_-;\-* #,##0.0\ _₫_-;_-* &quot;-&quot;\ _₫_-;_-@_-"/>
    <numFmt numFmtId="187" formatCode="_-* #,##0.00\ _₫_-;\-* #,##0.00\ _₫_-;_-* &quot;-&quot;\ _₫_-;_-@_-"/>
    <numFmt numFmtId="188" formatCode="_-* #,##0.000\ _₫_-;\-* #,##0.000\ _₫_-;_-* &quot;-&quot;\ _₫_-;_-@_-"/>
    <numFmt numFmtId="189" formatCode="_-* #,##0.0000\ _₫_-;\-* #,##0.0000\ _₫_-;_-* &quot;-&quot;\ _₫_-;_-@_-"/>
    <numFmt numFmtId="190" formatCode="_-* #,##0.00000\ _₫_-;\-* #,##0.00000\ _₫_-;_-* &quot;-&quot;\ _₫_-;_-@_-"/>
    <numFmt numFmtId="191" formatCode="#,##0.0000"/>
    <numFmt numFmtId="192" formatCode="#,##0.00000"/>
    <numFmt numFmtId="193" formatCode="#,##0.000000"/>
    <numFmt numFmtId="194" formatCode="#,##0.0000000"/>
    <numFmt numFmtId="195" formatCode="#,##0;[Red]#,##0"/>
    <numFmt numFmtId="196" formatCode="0;[Red]0"/>
    <numFmt numFmtId="197" formatCode="_(* #.##0.00_);_(* \(#.##0.00\);_(* &quot;-&quot;??_);_(@_)"/>
    <numFmt numFmtId="198" formatCode="#,##0.00;[Red]#,##0.00"/>
    <numFmt numFmtId="199" formatCode="_-* #,##0\ &quot;F&quot;_-;\-* #,##0\ &quot;F&quot;_-;_-* &quot;-&quot;\ &quot;F&quot;_-;_-@_-"/>
    <numFmt numFmtId="200" formatCode="_(* #,##0.000_);_(* \(#,##0.000\);_(* &quot;-&quot;???_);_(@_)"/>
    <numFmt numFmtId="201" formatCode="0.000"/>
    <numFmt numFmtId="202" formatCode="0.0%"/>
    <numFmt numFmtId="203" formatCode="_-* #,##0.00000\ _₫_-;\-* #,##0.00000\ _₫_-;_-* &quot;-&quot;??\ _₫_-;_-@_-"/>
    <numFmt numFmtId="204" formatCode="[$-409]dddd\,\ mmmm\ dd\,\ yyyy"/>
    <numFmt numFmtId="205" formatCode="[$-409]h:mm:ss\ AM/PM"/>
  </numFmts>
  <fonts count="85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b/>
      <sz val="14"/>
      <name val="Times New Roman"/>
      <family val="1"/>
    </font>
    <font>
      <sz val="12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b/>
      <i/>
      <sz val="11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VNI-Times"/>
      <family val="0"/>
    </font>
    <font>
      <b/>
      <i/>
      <sz val="12"/>
      <name val="Times New Roman"/>
      <family val="1"/>
    </font>
    <font>
      <b/>
      <sz val="13"/>
      <name val="Times New Roman"/>
      <family val="1"/>
    </font>
    <font>
      <i/>
      <sz val="14"/>
      <color indexed="9"/>
      <name val="Times New Roman"/>
      <family val="1"/>
    </font>
    <font>
      <b/>
      <i/>
      <sz val="14"/>
      <color indexed="9"/>
      <name val="Times New Roman"/>
      <family val="1"/>
    </font>
    <font>
      <i/>
      <sz val="13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i/>
      <sz val="20"/>
      <name val="Times New Roman"/>
      <family val="1"/>
    </font>
    <font>
      <sz val="18"/>
      <name val="Times New Roman"/>
      <family val="1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u val="single"/>
      <sz val="12"/>
      <color indexed="20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2"/>
      <color indexed="12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sz val="11"/>
      <color indexed="8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3"/>
      <color indexed="10"/>
      <name val="Times New Roman"/>
      <family val="1"/>
    </font>
    <font>
      <i/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b/>
      <i/>
      <sz val="14"/>
      <color indexed="10"/>
      <name val="Times New Roman"/>
      <family val="1"/>
    </font>
    <font>
      <sz val="13"/>
      <color indexed="9"/>
      <name val="Times New Roman"/>
      <family val="1"/>
    </font>
    <font>
      <i/>
      <sz val="13"/>
      <color indexed="9"/>
      <name val="Times New Roman"/>
      <family val="1"/>
    </font>
    <font>
      <i/>
      <sz val="16"/>
      <name val="Times New Roman"/>
      <family val="1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u val="single"/>
      <sz val="12"/>
      <color theme="11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2"/>
      <color theme="10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sz val="11"/>
      <color theme="1"/>
      <name val="Calibri"/>
      <family val="2"/>
    </font>
    <font>
      <sz val="12"/>
      <color theme="1"/>
      <name val="Arial"/>
      <family val="2"/>
    </font>
    <font>
      <sz val="12"/>
      <color theme="1"/>
      <name val="Calibri"/>
      <family val="2"/>
    </font>
    <font>
      <sz val="11"/>
      <color theme="1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sz val="13"/>
      <color rgb="FFFF0000"/>
      <name val="Times New Roman"/>
      <family val="1"/>
    </font>
    <font>
      <i/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sz val="14"/>
      <color rgb="FFFF0000"/>
      <name val="Times New Roman"/>
      <family val="1"/>
    </font>
    <font>
      <b/>
      <i/>
      <sz val="14"/>
      <color rgb="FFFF0000"/>
      <name val="Times New Roman"/>
      <family val="1"/>
    </font>
    <font>
      <sz val="13"/>
      <color theme="0"/>
      <name val="Times New Roman"/>
      <family val="1"/>
    </font>
    <font>
      <i/>
      <sz val="13"/>
      <color theme="0"/>
      <name val="Times New Roman"/>
      <family val="1"/>
    </font>
    <font>
      <i/>
      <sz val="14"/>
      <color theme="0"/>
      <name val="Times New Roman"/>
      <family val="1"/>
    </font>
    <font>
      <b/>
      <sz val="8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30" borderId="1" applyNumberFormat="0" applyAlignment="0" applyProtection="0"/>
    <xf numFmtId="0" fontId="66" fillId="0" borderId="6" applyNumberFormat="0" applyFill="0" applyAlignment="0" applyProtection="0"/>
    <xf numFmtId="0" fontId="67" fillId="31" borderId="0" applyNumberFormat="0" applyBorder="0" applyAlignment="0" applyProtection="0"/>
    <xf numFmtId="0" fontId="14" fillId="0" borderId="0">
      <alignment/>
      <protection/>
    </xf>
    <xf numFmtId="0" fontId="68" fillId="0" borderId="0">
      <alignment/>
      <protection/>
    </xf>
    <xf numFmtId="0" fontId="5" fillId="0" borderId="0">
      <alignment vertical="top"/>
      <protection/>
    </xf>
    <xf numFmtId="0" fontId="68" fillId="0" borderId="0">
      <alignment/>
      <protection/>
    </xf>
    <xf numFmtId="0" fontId="69" fillId="0" borderId="0">
      <alignment/>
      <protection/>
    </xf>
    <xf numFmtId="0" fontId="70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71" fillId="0" borderId="0">
      <alignment/>
      <protection/>
    </xf>
    <xf numFmtId="0" fontId="5" fillId="0" borderId="0">
      <alignment/>
      <protection/>
    </xf>
    <xf numFmtId="0" fontId="13" fillId="0" borderId="0">
      <alignment/>
      <protection/>
    </xf>
    <xf numFmtId="0" fontId="0" fillId="32" borderId="7" applyNumberFormat="0" applyFont="0" applyAlignment="0" applyProtection="0"/>
    <xf numFmtId="0" fontId="72" fillId="27" borderId="8" applyNumberFormat="0" applyAlignment="0" applyProtection="0"/>
    <xf numFmtId="9" fontId="0" fillId="0" borderId="0" applyFont="0" applyFill="0" applyBorder="0" applyAlignment="0" applyProtection="0"/>
    <xf numFmtId="197" fontId="15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</cellStyleXfs>
  <cellXfs count="187">
    <xf numFmtId="0" fontId="0" fillId="0" borderId="0" xfId="0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centerContinuous" vertical="center"/>
    </xf>
    <xf numFmtId="0" fontId="3" fillId="0" borderId="0" xfId="0" applyFont="1" applyAlignment="1">
      <alignment vertical="center"/>
    </xf>
    <xf numFmtId="0" fontId="9" fillId="0" borderId="13" xfId="0" applyFont="1" applyBorder="1" applyAlignment="1">
      <alignment horizontal="left" vertical="center"/>
    </xf>
    <xf numFmtId="0" fontId="9" fillId="0" borderId="12" xfId="0" applyFont="1" applyBorder="1" applyAlignment="1">
      <alignment horizontal="center" vertical="center"/>
    </xf>
    <xf numFmtId="3" fontId="9" fillId="0" borderId="12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righ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3" fontId="17" fillId="0" borderId="11" xfId="0" applyNumberFormat="1" applyFont="1" applyFill="1" applyBorder="1" applyAlignment="1">
      <alignment horizontal="right" vertical="center" wrapText="1"/>
    </xf>
    <xf numFmtId="0" fontId="17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right" vertical="center"/>
    </xf>
    <xf numFmtId="0" fontId="76" fillId="0" borderId="0" xfId="0" applyFont="1" applyFill="1" applyAlignment="1">
      <alignment vertical="center" wrapText="1"/>
    </xf>
    <xf numFmtId="195" fontId="6" fillId="0" borderId="11" xfId="75" applyNumberFormat="1" applyFont="1" applyFill="1" applyBorder="1" applyAlignment="1">
      <alignment horizontal="right" vertical="center"/>
      <protection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3" fontId="2" fillId="0" borderId="15" xfId="0" applyNumberFormat="1" applyFont="1" applyBorder="1" applyAlignment="1">
      <alignment vertical="center"/>
    </xf>
    <xf numFmtId="3" fontId="2" fillId="0" borderId="15" xfId="0" applyNumberFormat="1" applyFont="1" applyFill="1" applyBorder="1" applyAlignment="1">
      <alignment horizontal="right" vertical="center"/>
    </xf>
    <xf numFmtId="3" fontId="2" fillId="0" borderId="15" xfId="0" applyNumberFormat="1" applyFont="1" applyBorder="1" applyAlignment="1">
      <alignment horizontal="right" vertical="center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3" fontId="2" fillId="0" borderId="16" xfId="0" applyNumberFormat="1" applyFont="1" applyBorder="1" applyAlignment="1">
      <alignment vertical="center"/>
    </xf>
    <xf numFmtId="3" fontId="2" fillId="0" borderId="16" xfId="0" applyNumberFormat="1" applyFont="1" applyFill="1" applyBorder="1" applyAlignment="1">
      <alignment horizontal="right" vertical="center"/>
    </xf>
    <xf numFmtId="3" fontId="2" fillId="33" borderId="16" xfId="0" applyNumberFormat="1" applyFont="1" applyFill="1" applyBorder="1" applyAlignment="1">
      <alignment horizontal="right" vertical="center"/>
    </xf>
    <xf numFmtId="3" fontId="2" fillId="0" borderId="16" xfId="0" applyNumberFormat="1" applyFont="1" applyBorder="1" applyAlignment="1">
      <alignment horizontal="right" vertical="center"/>
    </xf>
    <xf numFmtId="3" fontId="8" fillId="0" borderId="16" xfId="0" applyNumberFormat="1" applyFont="1" applyBorder="1" applyAlignment="1">
      <alignment vertical="center"/>
    </xf>
    <xf numFmtId="3" fontId="8" fillId="0" borderId="16" xfId="0" applyNumberFormat="1" applyFont="1" applyBorder="1" applyAlignment="1">
      <alignment horizontal="right" vertical="center"/>
    </xf>
    <xf numFmtId="3" fontId="5" fillId="0" borderId="16" xfId="0" applyNumberFormat="1" applyFont="1" applyBorder="1" applyAlignment="1">
      <alignment vertical="center"/>
    </xf>
    <xf numFmtId="3" fontId="4" fillId="0" borderId="16" xfId="0" applyNumberFormat="1" applyFont="1" applyBorder="1" applyAlignment="1">
      <alignment vertical="center"/>
    </xf>
    <xf numFmtId="3" fontId="5" fillId="0" borderId="16" xfId="0" applyNumberFormat="1" applyFont="1" applyBorder="1" applyAlignment="1">
      <alignment horizontal="right" vertical="center"/>
    </xf>
    <xf numFmtId="0" fontId="4" fillId="0" borderId="16" xfId="0" applyFont="1" applyBorder="1" applyAlignment="1">
      <alignment vertical="center" wrapText="1"/>
    </xf>
    <xf numFmtId="9" fontId="4" fillId="0" borderId="16" xfId="78" applyFont="1" applyBorder="1" applyAlignment="1">
      <alignment vertical="center"/>
    </xf>
    <xf numFmtId="10" fontId="4" fillId="0" borderId="16" xfId="78" applyNumberFormat="1" applyFont="1" applyBorder="1" applyAlignment="1">
      <alignment vertical="center"/>
    </xf>
    <xf numFmtId="202" fontId="4" fillId="0" borderId="16" xfId="78" applyNumberFormat="1" applyFont="1" applyBorder="1" applyAlignment="1">
      <alignment horizontal="right" vertical="center"/>
    </xf>
    <xf numFmtId="0" fontId="5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9" fontId="4" fillId="0" borderId="16" xfId="78" applyFont="1" applyBorder="1" applyAlignment="1">
      <alignment horizontal="right" vertical="center"/>
    </xf>
    <xf numFmtId="0" fontId="5" fillId="0" borderId="16" xfId="0" applyFont="1" applyBorder="1" applyAlignment="1">
      <alignment vertical="center" wrapText="1"/>
    </xf>
    <xf numFmtId="0" fontId="4" fillId="0" borderId="16" xfId="0" applyFont="1" applyBorder="1" applyAlignment="1">
      <alignment horizontal="center" vertical="center"/>
    </xf>
    <xf numFmtId="3" fontId="4" fillId="0" borderId="16" xfId="0" applyNumberFormat="1" applyFont="1" applyBorder="1" applyAlignment="1">
      <alignment horizontal="right" vertical="center"/>
    </xf>
    <xf numFmtId="0" fontId="2" fillId="0" borderId="16" xfId="0" applyFont="1" applyBorder="1" applyAlignment="1" quotePrefix="1">
      <alignment horizontal="center" vertical="center"/>
    </xf>
    <xf numFmtId="0" fontId="4" fillId="0" borderId="16" xfId="0" applyFont="1" applyBorder="1" applyAlignment="1">
      <alignment vertical="center"/>
    </xf>
    <xf numFmtId="0" fontId="8" fillId="0" borderId="16" xfId="0" applyFont="1" applyBorder="1" applyAlignment="1" quotePrefix="1">
      <alignment horizontal="center" vertical="center"/>
    </xf>
    <xf numFmtId="176" fontId="2" fillId="0" borderId="16" xfId="42" applyNumberFormat="1" applyFont="1" applyBorder="1" applyAlignment="1">
      <alignment vertical="center"/>
    </xf>
    <xf numFmtId="176" fontId="2" fillId="0" borderId="16" xfId="42" applyNumberFormat="1" applyFont="1" applyBorder="1" applyAlignment="1">
      <alignment horizontal="right" vertical="center"/>
    </xf>
    <xf numFmtId="0" fontId="5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vertical="center" wrapText="1"/>
    </xf>
    <xf numFmtId="3" fontId="5" fillId="0" borderId="17" xfId="0" applyNumberFormat="1" applyFont="1" applyBorder="1" applyAlignment="1">
      <alignment vertical="center"/>
    </xf>
    <xf numFmtId="3" fontId="4" fillId="0" borderId="17" xfId="0" applyNumberFormat="1" applyFont="1" applyBorder="1" applyAlignment="1">
      <alignment vertical="center"/>
    </xf>
    <xf numFmtId="3" fontId="5" fillId="0" borderId="17" xfId="0" applyNumberFormat="1" applyFont="1" applyBorder="1" applyAlignment="1">
      <alignment horizontal="right" vertical="center"/>
    </xf>
    <xf numFmtId="0" fontId="5" fillId="0" borderId="17" xfId="0" applyFont="1" applyBorder="1" applyAlignment="1">
      <alignment horizontal="right" vertical="center"/>
    </xf>
    <xf numFmtId="0" fontId="8" fillId="0" borderId="16" xfId="0" applyFont="1" applyBorder="1" applyAlignment="1">
      <alignment horizontal="center" vertical="center"/>
    </xf>
    <xf numFmtId="0" fontId="77" fillId="0" borderId="16" xfId="0" applyFont="1" applyBorder="1" applyAlignment="1">
      <alignment horizontal="center" vertical="center"/>
    </xf>
    <xf numFmtId="0" fontId="77" fillId="0" borderId="16" xfId="0" applyFont="1" applyBorder="1" applyAlignment="1">
      <alignment vertical="center" wrapText="1"/>
    </xf>
    <xf numFmtId="3" fontId="77" fillId="0" borderId="16" xfId="0" applyNumberFormat="1" applyFont="1" applyBorder="1" applyAlignment="1">
      <alignment vertical="center"/>
    </xf>
    <xf numFmtId="3" fontId="77" fillId="0" borderId="16" xfId="0" applyNumberFormat="1" applyFont="1" applyBorder="1" applyAlignment="1">
      <alignment horizontal="right" vertical="center"/>
    </xf>
    <xf numFmtId="0" fontId="77" fillId="0" borderId="0" xfId="0" applyFont="1" applyAlignment="1">
      <alignment vertical="center"/>
    </xf>
    <xf numFmtId="0" fontId="78" fillId="0" borderId="16" xfId="0" applyFont="1" applyBorder="1" applyAlignment="1" quotePrefix="1">
      <alignment horizontal="center" vertical="center"/>
    </xf>
    <xf numFmtId="0" fontId="79" fillId="0" borderId="16" xfId="0" applyFont="1" applyBorder="1" applyAlignment="1">
      <alignment vertical="center" wrapText="1"/>
    </xf>
    <xf numFmtId="3" fontId="79" fillId="0" borderId="16" xfId="0" applyNumberFormat="1" applyFont="1" applyBorder="1" applyAlignment="1">
      <alignment vertical="center"/>
    </xf>
    <xf numFmtId="3" fontId="79" fillId="0" borderId="16" xfId="0" applyNumberFormat="1" applyFont="1" applyBorder="1" applyAlignment="1">
      <alignment horizontal="right" vertical="center"/>
    </xf>
    <xf numFmtId="0" fontId="79" fillId="0" borderId="0" xfId="0" applyFont="1" applyAlignment="1">
      <alignment vertical="center"/>
    </xf>
    <xf numFmtId="3" fontId="79" fillId="0" borderId="0" xfId="0" applyNumberFormat="1" applyFont="1" applyAlignment="1">
      <alignment vertical="center"/>
    </xf>
    <xf numFmtId="0" fontId="77" fillId="0" borderId="16" xfId="0" applyFont="1" applyBorder="1" applyAlignment="1">
      <alignment vertical="center"/>
    </xf>
    <xf numFmtId="0" fontId="80" fillId="0" borderId="16" xfId="0" applyFont="1" applyBorder="1" applyAlignment="1" quotePrefix="1">
      <alignment horizontal="center" vertical="center"/>
    </xf>
    <xf numFmtId="9" fontId="77" fillId="0" borderId="16" xfId="78" applyFont="1" applyBorder="1" applyAlignment="1">
      <alignment vertical="center"/>
    </xf>
    <xf numFmtId="0" fontId="79" fillId="0" borderId="16" xfId="0" applyFont="1" applyBorder="1" applyAlignment="1">
      <alignment vertical="center"/>
    </xf>
    <xf numFmtId="3" fontId="78" fillId="0" borderId="16" xfId="0" applyNumberFormat="1" applyFont="1" applyBorder="1" applyAlignment="1">
      <alignment vertical="center"/>
    </xf>
    <xf numFmtId="0" fontId="78" fillId="0" borderId="0" xfId="0" applyFont="1" applyAlignment="1">
      <alignment vertical="center"/>
    </xf>
    <xf numFmtId="0" fontId="5" fillId="0" borderId="18" xfId="0" applyFont="1" applyBorder="1" applyAlignment="1">
      <alignment horizontal="center" vertical="center"/>
    </xf>
    <xf numFmtId="0" fontId="5" fillId="0" borderId="18" xfId="0" applyFont="1" applyBorder="1" applyAlignment="1">
      <alignment vertical="center"/>
    </xf>
    <xf numFmtId="3" fontId="5" fillId="0" borderId="18" xfId="0" applyNumberFormat="1" applyFont="1" applyBorder="1" applyAlignment="1">
      <alignment vertical="center"/>
    </xf>
    <xf numFmtId="3" fontId="4" fillId="0" borderId="18" xfId="0" applyNumberFormat="1" applyFont="1" applyBorder="1" applyAlignment="1">
      <alignment vertical="center"/>
    </xf>
    <xf numFmtId="3" fontId="5" fillId="0" borderId="18" xfId="0" applyNumberFormat="1" applyFont="1" applyBorder="1" applyAlignment="1">
      <alignment horizontal="right" vertical="center"/>
    </xf>
    <xf numFmtId="0" fontId="2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3" fontId="2" fillId="0" borderId="17" xfId="0" applyNumberFormat="1" applyFont="1" applyBorder="1" applyAlignment="1">
      <alignment vertical="center"/>
    </xf>
    <xf numFmtId="3" fontId="8" fillId="0" borderId="17" xfId="0" applyNumberFormat="1" applyFont="1" applyBorder="1" applyAlignment="1">
      <alignment vertical="center"/>
    </xf>
    <xf numFmtId="3" fontId="2" fillId="0" borderId="17" xfId="0" applyNumberFormat="1" applyFont="1" applyBorder="1" applyAlignment="1">
      <alignment horizontal="right" vertical="center"/>
    </xf>
    <xf numFmtId="10" fontId="4" fillId="0" borderId="16" xfId="78" applyNumberFormat="1" applyFont="1" applyBorder="1" applyAlignment="1">
      <alignment horizontal="right" vertical="center"/>
    </xf>
    <xf numFmtId="172" fontId="20" fillId="33" borderId="11" xfId="42" applyNumberFormat="1" applyFont="1" applyFill="1" applyBorder="1" applyAlignment="1">
      <alignment horizontal="right" vertical="center" wrapText="1"/>
    </xf>
    <xf numFmtId="0" fontId="20" fillId="0" borderId="0" xfId="0" applyFont="1" applyFill="1" applyAlignment="1">
      <alignment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172" fontId="81" fillId="0" borderId="11" xfId="0" applyNumberFormat="1" applyFont="1" applyFill="1" applyBorder="1" applyAlignment="1">
      <alignment vertical="center" wrapText="1"/>
    </xf>
    <xf numFmtId="172" fontId="82" fillId="0" borderId="11" xfId="0" applyNumberFormat="1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172" fontId="6" fillId="0" borderId="11" xfId="0" applyNumberFormat="1" applyFont="1" applyFill="1" applyBorder="1" applyAlignment="1">
      <alignment horizontal="right" vertical="center" wrapText="1"/>
    </xf>
    <xf numFmtId="3" fontId="4" fillId="33" borderId="16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3" fontId="5" fillId="33" borderId="16" xfId="0" applyNumberFormat="1" applyFont="1" applyFill="1" applyBorder="1" applyAlignment="1">
      <alignment horizontal="right" vertical="center"/>
    </xf>
    <xf numFmtId="0" fontId="6" fillId="0" borderId="1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left" vertical="center" wrapText="1"/>
    </xf>
    <xf numFmtId="3" fontId="6" fillId="0" borderId="15" xfId="0" applyNumberFormat="1" applyFont="1" applyFill="1" applyBorder="1" applyAlignment="1">
      <alignment vertical="center"/>
    </xf>
    <xf numFmtId="49" fontId="6" fillId="0" borderId="15" xfId="42" applyNumberFormat="1" applyFont="1" applyFill="1" applyBorder="1" applyAlignment="1">
      <alignment horizontal="center" vertical="center" wrapText="1"/>
    </xf>
    <xf numFmtId="175" fontId="6" fillId="0" borderId="15" xfId="42" applyNumberFormat="1" applyFont="1" applyFill="1" applyBorder="1" applyAlignment="1">
      <alignment horizontal="center" vertical="center" wrapText="1"/>
    </xf>
    <xf numFmtId="4" fontId="6" fillId="0" borderId="15" xfId="0" applyNumberFormat="1" applyFont="1" applyFill="1" applyBorder="1" applyAlignment="1">
      <alignment horizontal="right" vertical="center"/>
    </xf>
    <xf numFmtId="172" fontId="6" fillId="0" borderId="15" xfId="42" applyNumberFormat="1" applyFont="1" applyFill="1" applyBorder="1" applyAlignment="1">
      <alignment horizontal="right" vertical="center" wrapText="1"/>
    </xf>
    <xf numFmtId="9" fontId="6" fillId="0" borderId="15" xfId="78" applyFont="1" applyFill="1" applyBorder="1" applyAlignment="1">
      <alignment horizontal="center" vertical="center" wrapText="1"/>
    </xf>
    <xf numFmtId="172" fontId="6" fillId="0" borderId="15" xfId="78" applyNumberFormat="1" applyFont="1" applyFill="1" applyBorder="1" applyAlignment="1">
      <alignment horizontal="center" vertical="center" wrapText="1"/>
    </xf>
    <xf numFmtId="195" fontId="6" fillId="0" borderId="15" xfId="75" applyNumberFormat="1" applyFont="1" applyFill="1" applyBorder="1" applyAlignment="1">
      <alignment horizontal="right" vertical="center"/>
      <protection/>
    </xf>
    <xf numFmtId="0" fontId="6" fillId="0" borderId="16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left" vertical="center" wrapText="1"/>
    </xf>
    <xf numFmtId="1" fontId="6" fillId="0" borderId="16" xfId="75" applyNumberFormat="1" applyFont="1" applyFill="1" applyBorder="1" applyAlignment="1">
      <alignment horizontal="center" vertical="center" wrapText="1"/>
      <protection/>
    </xf>
    <xf numFmtId="3" fontId="6" fillId="0" borderId="16" xfId="0" applyNumberFormat="1" applyFont="1" applyFill="1" applyBorder="1" applyAlignment="1">
      <alignment vertical="center"/>
    </xf>
    <xf numFmtId="3" fontId="6" fillId="0" borderId="16" xfId="75" applyNumberFormat="1" applyFont="1" applyFill="1" applyBorder="1" applyAlignment="1" quotePrefix="1">
      <alignment horizontal="right" vertical="center" wrapText="1"/>
      <protection/>
    </xf>
    <xf numFmtId="49" fontId="6" fillId="0" borderId="16" xfId="42" applyNumberFormat="1" applyFont="1" applyFill="1" applyBorder="1" applyAlignment="1">
      <alignment horizontal="center" vertical="center" wrapText="1"/>
    </xf>
    <xf numFmtId="175" fontId="6" fillId="0" borderId="16" xfId="42" applyNumberFormat="1" applyFont="1" applyFill="1" applyBorder="1" applyAlignment="1">
      <alignment horizontal="center" vertical="center" wrapText="1"/>
    </xf>
    <xf numFmtId="4" fontId="6" fillId="0" borderId="16" xfId="0" applyNumberFormat="1" applyFont="1" applyFill="1" applyBorder="1" applyAlignment="1">
      <alignment horizontal="right" vertical="center"/>
    </xf>
    <xf numFmtId="172" fontId="6" fillId="0" borderId="16" xfId="42" applyNumberFormat="1" applyFont="1" applyFill="1" applyBorder="1" applyAlignment="1">
      <alignment horizontal="right" vertical="center" wrapText="1"/>
    </xf>
    <xf numFmtId="9" fontId="6" fillId="0" borderId="16" xfId="78" applyFont="1" applyFill="1" applyBorder="1" applyAlignment="1">
      <alignment horizontal="center" vertical="center" wrapText="1"/>
    </xf>
    <xf numFmtId="172" fontId="6" fillId="0" borderId="16" xfId="78" applyNumberFormat="1" applyFont="1" applyFill="1" applyBorder="1" applyAlignment="1">
      <alignment horizontal="center" vertical="center" wrapText="1"/>
    </xf>
    <xf numFmtId="195" fontId="6" fillId="0" borderId="16" xfId="75" applyNumberFormat="1" applyFont="1" applyFill="1" applyBorder="1" applyAlignment="1">
      <alignment horizontal="right" vertical="center"/>
      <protection/>
    </xf>
    <xf numFmtId="0" fontId="20" fillId="0" borderId="16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left" vertical="center" wrapText="1"/>
    </xf>
    <xf numFmtId="1" fontId="20" fillId="0" borderId="16" xfId="75" applyNumberFormat="1" applyFont="1" applyFill="1" applyBorder="1" applyAlignment="1">
      <alignment horizontal="center" vertical="center" wrapText="1"/>
      <protection/>
    </xf>
    <xf numFmtId="3" fontId="20" fillId="0" borderId="16" xfId="0" applyNumberFormat="1" applyFont="1" applyFill="1" applyBorder="1" applyAlignment="1">
      <alignment vertical="center"/>
    </xf>
    <xf numFmtId="3" fontId="20" fillId="0" borderId="16" xfId="75" applyNumberFormat="1" applyFont="1" applyFill="1" applyBorder="1" applyAlignment="1" quotePrefix="1">
      <alignment horizontal="right" vertical="center" wrapText="1"/>
      <protection/>
    </xf>
    <xf numFmtId="49" fontId="20" fillId="0" borderId="16" xfId="42" applyNumberFormat="1" applyFont="1" applyFill="1" applyBorder="1" applyAlignment="1">
      <alignment horizontal="center" vertical="center" wrapText="1"/>
    </xf>
    <xf numFmtId="175" fontId="20" fillId="0" borderId="16" xfId="42" applyNumberFormat="1" applyFont="1" applyFill="1" applyBorder="1" applyAlignment="1">
      <alignment horizontal="center" vertical="center" wrapText="1"/>
    </xf>
    <xf numFmtId="4" fontId="20" fillId="0" borderId="16" xfId="0" applyNumberFormat="1" applyFont="1" applyFill="1" applyBorder="1" applyAlignment="1">
      <alignment horizontal="right" vertical="center"/>
    </xf>
    <xf numFmtId="172" fontId="20" fillId="0" borderId="16" xfId="42" applyNumberFormat="1" applyFont="1" applyFill="1" applyBorder="1" applyAlignment="1">
      <alignment horizontal="right" vertical="center" wrapText="1"/>
    </xf>
    <xf numFmtId="9" fontId="20" fillId="0" borderId="16" xfId="78" applyFont="1" applyFill="1" applyBorder="1" applyAlignment="1">
      <alignment horizontal="center" vertical="center" wrapText="1"/>
    </xf>
    <xf numFmtId="195" fontId="20" fillId="0" borderId="16" xfId="75" applyNumberFormat="1" applyFont="1" applyFill="1" applyBorder="1" applyAlignment="1">
      <alignment horizontal="right" vertical="center"/>
      <protection/>
    </xf>
    <xf numFmtId="172" fontId="20" fillId="33" borderId="16" xfId="42" applyNumberFormat="1" applyFont="1" applyFill="1" applyBorder="1" applyAlignment="1">
      <alignment horizontal="right" vertical="center" wrapText="1"/>
    </xf>
    <xf numFmtId="10" fontId="20" fillId="0" borderId="16" xfId="78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left" vertical="center" wrapText="1"/>
    </xf>
    <xf numFmtId="1" fontId="6" fillId="0" borderId="17" xfId="75" applyNumberFormat="1" applyFont="1" applyFill="1" applyBorder="1" applyAlignment="1">
      <alignment horizontal="center" vertical="center" wrapText="1"/>
      <protection/>
    </xf>
    <xf numFmtId="3" fontId="6" fillId="0" borderId="17" xfId="0" applyNumberFormat="1" applyFont="1" applyFill="1" applyBorder="1" applyAlignment="1">
      <alignment vertical="center"/>
    </xf>
    <xf numFmtId="175" fontId="6" fillId="0" borderId="17" xfId="42" applyNumberFormat="1" applyFont="1" applyFill="1" applyBorder="1" applyAlignment="1">
      <alignment horizontal="center" vertical="center" wrapText="1"/>
    </xf>
    <xf numFmtId="4" fontId="6" fillId="0" borderId="17" xfId="0" applyNumberFormat="1" applyFont="1" applyFill="1" applyBorder="1" applyAlignment="1">
      <alignment horizontal="right" vertical="center"/>
    </xf>
    <xf numFmtId="172" fontId="6" fillId="0" borderId="17" xfId="42" applyNumberFormat="1" applyFont="1" applyFill="1" applyBorder="1" applyAlignment="1">
      <alignment horizontal="right" vertical="center" wrapText="1"/>
    </xf>
    <xf numFmtId="3" fontId="6" fillId="0" borderId="17" xfId="75" applyNumberFormat="1" applyFont="1" applyFill="1" applyBorder="1" applyAlignment="1" quotePrefix="1">
      <alignment horizontal="right" vertical="center" wrapText="1"/>
      <protection/>
    </xf>
    <xf numFmtId="9" fontId="6" fillId="0" borderId="17" xfId="78" applyFont="1" applyFill="1" applyBorder="1" applyAlignment="1">
      <alignment horizontal="center" vertical="center" wrapText="1"/>
    </xf>
    <xf numFmtId="172" fontId="6" fillId="0" borderId="17" xfId="78" applyNumberFormat="1" applyFont="1" applyFill="1" applyBorder="1" applyAlignment="1">
      <alignment horizontal="center" vertical="center" wrapText="1"/>
    </xf>
    <xf numFmtId="3" fontId="5" fillId="0" borderId="17" xfId="0" applyNumberFormat="1" applyFont="1" applyFill="1" applyBorder="1" applyAlignment="1">
      <alignment vertical="center"/>
    </xf>
    <xf numFmtId="195" fontId="6" fillId="0" borderId="17" xfId="75" applyNumberFormat="1" applyFont="1" applyFill="1" applyBorder="1" applyAlignment="1">
      <alignment horizontal="right" vertical="center"/>
      <protection/>
    </xf>
    <xf numFmtId="0" fontId="22" fillId="0" borderId="0" xfId="0" applyFont="1" applyFill="1" applyAlignment="1">
      <alignment vertical="center" wrapText="1"/>
    </xf>
    <xf numFmtId="0" fontId="22" fillId="0" borderId="0" xfId="0" applyFont="1" applyFill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3" fontId="9" fillId="0" borderId="12" xfId="0" applyNumberFormat="1" applyFont="1" applyFill="1" applyBorder="1" applyAlignment="1">
      <alignment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21" fillId="0" borderId="0" xfId="0" applyFont="1" applyAlignment="1">
      <alignment horizontal="center" vertical="center"/>
    </xf>
    <xf numFmtId="0" fontId="83" fillId="0" borderId="0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5" fillId="0" borderId="21" xfId="0" applyFont="1" applyFill="1" applyBorder="1" applyAlignment="1">
      <alignment horizontal="right" vertical="center"/>
    </xf>
    <xf numFmtId="0" fontId="23" fillId="0" borderId="0" xfId="0" applyFont="1" applyFill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53" fillId="0" borderId="0" xfId="0" applyFont="1" applyAlignment="1">
      <alignment horizontal="center" vertical="center"/>
    </xf>
  </cellXfs>
  <cellStyles count="6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 10" xfId="44"/>
    <cellStyle name="Comma 10 2" xfId="45"/>
    <cellStyle name="Comma 2 4 3" xfId="46"/>
    <cellStyle name="Comma 4 2" xfId="47"/>
    <cellStyle name="Comma 4 2 5" xfId="48"/>
    <cellStyle name="Comma 4 2_bieu 21" xfId="49"/>
    <cellStyle name="Comma 5" xfId="50"/>
    <cellStyle name="Comma 5 17" xfId="51"/>
    <cellStyle name="Currency" xfId="52"/>
    <cellStyle name="Currency [0]" xfId="53"/>
    <cellStyle name="Explanatory Text" xfId="54"/>
    <cellStyle name="Followed Hyperlink" xfId="55"/>
    <cellStyle name="Good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ormal 10 2 2" xfId="65"/>
    <cellStyle name="Normal 11" xfId="66"/>
    <cellStyle name="Normal 11 3 5" xfId="67"/>
    <cellStyle name="Normal 11 4 2" xfId="68"/>
    <cellStyle name="Normal 13 3" xfId="69"/>
    <cellStyle name="Normal 13 3 2" xfId="70"/>
    <cellStyle name="Normal 15 4" xfId="71"/>
    <cellStyle name="Normal 19 4" xfId="72"/>
    <cellStyle name="Normal 2" xfId="73"/>
    <cellStyle name="Normal 67" xfId="74"/>
    <cellStyle name="Normal_Bieu mau (CV )" xfId="75"/>
    <cellStyle name="Note" xfId="76"/>
    <cellStyle name="Output" xfId="77"/>
    <cellStyle name="Percent" xfId="78"/>
    <cellStyle name="Style 1 2 2" xfId="79"/>
    <cellStyle name="Title" xfId="80"/>
    <cellStyle name="Total" xfId="81"/>
    <cellStyle name="Warning Text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N70"/>
  <sheetViews>
    <sheetView tabSelected="1" zoomScale="75" zoomScaleNormal="75" zoomScalePageLayoutView="0" workbookViewId="0" topLeftCell="A1">
      <pane ySplit="10" topLeftCell="A19" activePane="bottomLeft" state="frozen"/>
      <selection pane="topLeft" activeCell="A1" sqref="A1"/>
      <selection pane="bottomLeft" activeCell="A1" sqref="A1:L1"/>
    </sheetView>
  </sheetViews>
  <sheetFormatPr defaultColWidth="9.00390625" defaultRowHeight="15.75"/>
  <cols>
    <col min="1" max="1" width="7.00390625" style="12" customWidth="1"/>
    <col min="2" max="2" width="76.125" style="12" customWidth="1"/>
    <col min="3" max="3" width="5.00390625" style="12" hidden="1" customWidth="1"/>
    <col min="4" max="4" width="14.75390625" style="12" hidden="1" customWidth="1"/>
    <col min="5" max="6" width="14.625" style="12" hidden="1" customWidth="1"/>
    <col min="7" max="8" width="16.125" style="12" customWidth="1"/>
    <col min="9" max="11" width="13.75390625" style="12" hidden="1" customWidth="1"/>
    <col min="12" max="12" width="16.125" style="12" customWidth="1"/>
    <col min="13" max="16384" width="9.00390625" style="12" customWidth="1"/>
  </cols>
  <sheetData>
    <row r="1" spans="1:12" ht="48" customHeight="1">
      <c r="A1" s="164" t="s">
        <v>153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</row>
    <row r="2" spans="1:12" ht="27" customHeight="1">
      <c r="A2" s="164" t="s">
        <v>129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</row>
    <row r="3" spans="1:12" ht="16.5" customHeight="1" hidden="1">
      <c r="A3" s="165" t="s">
        <v>130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</row>
    <row r="4" spans="1:12" ht="20.25">
      <c r="A4" s="186" t="s">
        <v>152</v>
      </c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</row>
    <row r="5" spans="1:12" ht="18.75">
      <c r="A5" s="108"/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</row>
    <row r="6" spans="1:12" ht="18.75">
      <c r="A6" s="9"/>
      <c r="B6" s="9"/>
      <c r="C6" s="4"/>
      <c r="E6" s="166" t="s">
        <v>21</v>
      </c>
      <c r="F6" s="166"/>
      <c r="G6" s="166"/>
      <c r="H6" s="166"/>
      <c r="I6" s="166"/>
      <c r="J6" s="166"/>
      <c r="K6" s="166"/>
      <c r="L6" s="166"/>
    </row>
    <row r="7" spans="1:12" s="7" customFormat="1" ht="26.25" customHeight="1">
      <c r="A7" s="169" t="s">
        <v>22</v>
      </c>
      <c r="B7" s="169" t="s">
        <v>2</v>
      </c>
      <c r="C7" s="162" t="s">
        <v>46</v>
      </c>
      <c r="D7" s="171" t="s">
        <v>36</v>
      </c>
      <c r="E7" s="171"/>
      <c r="F7" s="162" t="s">
        <v>100</v>
      </c>
      <c r="G7" s="162" t="s">
        <v>131</v>
      </c>
      <c r="H7" s="162" t="s">
        <v>132</v>
      </c>
      <c r="I7" s="162" t="s">
        <v>74</v>
      </c>
      <c r="J7" s="162" t="s">
        <v>78</v>
      </c>
      <c r="K7" s="162" t="s">
        <v>84</v>
      </c>
      <c r="L7" s="162" t="s">
        <v>3</v>
      </c>
    </row>
    <row r="8" spans="1:12" s="7" customFormat="1" ht="26.25" customHeight="1">
      <c r="A8" s="170"/>
      <c r="B8" s="170"/>
      <c r="C8" s="163"/>
      <c r="D8" s="6" t="s">
        <v>47</v>
      </c>
      <c r="E8" s="24" t="s">
        <v>71</v>
      </c>
      <c r="F8" s="163"/>
      <c r="G8" s="163"/>
      <c r="H8" s="163"/>
      <c r="I8" s="163"/>
      <c r="J8" s="163"/>
      <c r="K8" s="163"/>
      <c r="L8" s="163"/>
    </row>
    <row r="9" spans="1:12" s="3" customFormat="1" ht="26.25" customHeight="1">
      <c r="A9" s="2" t="s">
        <v>0</v>
      </c>
      <c r="B9" s="1" t="s">
        <v>1</v>
      </c>
      <c r="C9" s="2">
        <v>1</v>
      </c>
      <c r="D9" s="2">
        <v>1</v>
      </c>
      <c r="E9" s="2">
        <v>2</v>
      </c>
      <c r="F9" s="2">
        <v>1</v>
      </c>
      <c r="G9" s="160">
        <v>1</v>
      </c>
      <c r="H9" s="160">
        <v>2</v>
      </c>
      <c r="I9" s="2">
        <v>6</v>
      </c>
      <c r="J9" s="2">
        <v>6</v>
      </c>
      <c r="K9" s="2">
        <v>6</v>
      </c>
      <c r="L9" s="2" t="s">
        <v>72</v>
      </c>
    </row>
    <row r="10" spans="1:12" s="16" customFormat="1" ht="18.75" customHeight="1" hidden="1">
      <c r="A10" s="14"/>
      <c r="B10" s="13" t="s">
        <v>4</v>
      </c>
      <c r="C10" s="14"/>
      <c r="D10" s="15">
        <v>4921700</v>
      </c>
      <c r="E10" s="15"/>
      <c r="F10" s="15">
        <f>D10*1.13</f>
        <v>5561520.999999999</v>
      </c>
      <c r="G10" s="161" t="e">
        <f>#REF!*1.13</f>
        <v>#REF!</v>
      </c>
      <c r="H10" s="161">
        <f>F10*1.13</f>
        <v>6284518.729999999</v>
      </c>
      <c r="I10" s="15">
        <f>H10*1.13</f>
        <v>7101506.164899997</v>
      </c>
      <c r="J10" s="15">
        <f>I10*1.13</f>
        <v>8024701.966336996</v>
      </c>
      <c r="K10" s="15">
        <f>J10*1.13</f>
        <v>9067913.221960805</v>
      </c>
      <c r="L10" s="15" t="e">
        <f>#REF!*1.13</f>
        <v>#REF!</v>
      </c>
    </row>
    <row r="11" spans="1:12" s="8" customFormat="1" ht="26.25" customHeight="1">
      <c r="A11" s="32" t="s">
        <v>0</v>
      </c>
      <c r="B11" s="33" t="s">
        <v>149</v>
      </c>
      <c r="C11" s="32"/>
      <c r="D11" s="34">
        <v>4921700</v>
      </c>
      <c r="E11" s="34">
        <v>5215000</v>
      </c>
      <c r="F11" s="34">
        <v>5284506</v>
      </c>
      <c r="G11" s="35">
        <v>5945060</v>
      </c>
      <c r="H11" s="35">
        <v>6023800</v>
      </c>
      <c r="I11" s="36">
        <f>H11*113%</f>
        <v>6806893.999999999</v>
      </c>
      <c r="J11" s="36">
        <f>I11*113%</f>
        <v>7691790.219999998</v>
      </c>
      <c r="K11" s="36">
        <f>J11*113%</f>
        <v>8691722.948599996</v>
      </c>
      <c r="L11" s="36">
        <f>H11-G11</f>
        <v>78740</v>
      </c>
    </row>
    <row r="12" spans="1:12" s="8" customFormat="1" ht="26.25" customHeight="1">
      <c r="A12" s="37" t="s">
        <v>1</v>
      </c>
      <c r="B12" s="38" t="s">
        <v>150</v>
      </c>
      <c r="C12" s="37"/>
      <c r="D12" s="39">
        <v>10706091</v>
      </c>
      <c r="E12" s="39">
        <v>10817258</v>
      </c>
      <c r="F12" s="39">
        <v>11282950</v>
      </c>
      <c r="G12" s="40">
        <v>12846921</v>
      </c>
      <c r="H12" s="40">
        <v>12916030</v>
      </c>
      <c r="I12" s="42">
        <f>H12*110%</f>
        <v>14207633.000000002</v>
      </c>
      <c r="J12" s="42">
        <f>I12*110%</f>
        <v>15628396.300000003</v>
      </c>
      <c r="K12" s="42">
        <f>J12*110%</f>
        <v>17191235.930000003</v>
      </c>
      <c r="L12" s="42">
        <f>+H12-G12</f>
        <v>69109</v>
      </c>
    </row>
    <row r="13" spans="1:12" s="8" customFormat="1" ht="26.25" customHeight="1">
      <c r="A13" s="37" t="s">
        <v>5</v>
      </c>
      <c r="B13" s="38" t="s">
        <v>144</v>
      </c>
      <c r="C13" s="39"/>
      <c r="D13" s="39">
        <v>11320</v>
      </c>
      <c r="E13" s="43">
        <v>-11320</v>
      </c>
      <c r="F13" s="43">
        <v>93500</v>
      </c>
      <c r="G13" s="42">
        <f>+G14</f>
        <v>122400</v>
      </c>
      <c r="H13" s="42">
        <f>+H14</f>
        <v>204800</v>
      </c>
      <c r="I13" s="42">
        <f>+I14</f>
        <v>0</v>
      </c>
      <c r="J13" s="42">
        <f>+J14</f>
        <v>0</v>
      </c>
      <c r="K13" s="42">
        <f>+K14</f>
        <v>0</v>
      </c>
      <c r="L13" s="42">
        <f>+H13-G13</f>
        <v>82400</v>
      </c>
    </row>
    <row r="14" spans="1:12" s="8" customFormat="1" ht="26.25" customHeight="1" hidden="1">
      <c r="A14" s="52">
        <v>1</v>
      </c>
      <c r="B14" s="53" t="s">
        <v>127</v>
      </c>
      <c r="C14" s="39"/>
      <c r="D14" s="39"/>
      <c r="E14" s="43"/>
      <c r="F14" s="43"/>
      <c r="G14" s="47">
        <v>122400</v>
      </c>
      <c r="H14" s="47">
        <v>204800</v>
      </c>
      <c r="I14" s="44"/>
      <c r="J14" s="44"/>
      <c r="K14" s="44"/>
      <c r="L14" s="42"/>
    </row>
    <row r="15" spans="1:12" s="8" customFormat="1" ht="26.25" customHeight="1" hidden="1">
      <c r="A15" s="52">
        <v>2</v>
      </c>
      <c r="B15" s="53" t="s">
        <v>128</v>
      </c>
      <c r="C15" s="39"/>
      <c r="D15" s="39"/>
      <c r="E15" s="43"/>
      <c r="F15" s="43"/>
      <c r="G15" s="47"/>
      <c r="H15" s="47"/>
      <c r="I15" s="47"/>
      <c r="J15" s="47"/>
      <c r="K15" s="47"/>
      <c r="L15" s="47"/>
    </row>
    <row r="16" spans="1:12" s="8" customFormat="1" ht="26.25" customHeight="1">
      <c r="A16" s="37" t="s">
        <v>20</v>
      </c>
      <c r="B16" s="38" t="s">
        <v>151</v>
      </c>
      <c r="C16" s="39">
        <f>2365800*0.3</f>
        <v>709740</v>
      </c>
      <c r="D16" s="39">
        <f aca="true" t="shared" si="0" ref="D16:J16">+D11*0.2</f>
        <v>984340</v>
      </c>
      <c r="E16" s="39">
        <f t="shared" si="0"/>
        <v>1043000</v>
      </c>
      <c r="F16" s="39">
        <f t="shared" si="0"/>
        <v>1056901.2</v>
      </c>
      <c r="G16" s="42">
        <f>G11*0.2</f>
        <v>1189012</v>
      </c>
      <c r="H16" s="42">
        <f>+H11*0.2</f>
        <v>1204760</v>
      </c>
      <c r="I16" s="42">
        <f t="shared" si="0"/>
        <v>1361378.7999999998</v>
      </c>
      <c r="J16" s="42">
        <f t="shared" si="0"/>
        <v>1538358.0439999998</v>
      </c>
      <c r="K16" s="42">
        <f>+K11*0.2</f>
        <v>1738344.5897199993</v>
      </c>
      <c r="L16" s="42">
        <f>+H16-G16</f>
        <v>15748</v>
      </c>
    </row>
    <row r="17" spans="1:12" s="4" customFormat="1" ht="26.25" customHeight="1">
      <c r="A17" s="37" t="s">
        <v>65</v>
      </c>
      <c r="B17" s="38" t="s">
        <v>56</v>
      </c>
      <c r="C17" s="45"/>
      <c r="D17" s="45"/>
      <c r="E17" s="46"/>
      <c r="F17" s="45"/>
      <c r="G17" s="47"/>
      <c r="H17" s="47"/>
      <c r="I17" s="47"/>
      <c r="J17" s="47"/>
      <c r="K17" s="47"/>
      <c r="L17" s="42"/>
    </row>
    <row r="18" spans="1:12" s="4" customFormat="1" ht="26.25" customHeight="1">
      <c r="A18" s="37" t="s">
        <v>6</v>
      </c>
      <c r="B18" s="38" t="s">
        <v>7</v>
      </c>
      <c r="C18" s="39" t="e">
        <f>C22+#REF!+C20+#REF!+#REF!</f>
        <v>#REF!</v>
      </c>
      <c r="D18" s="39">
        <f aca="true" t="shared" si="1" ref="D18:J18">D20+D21+D22</f>
        <v>705970</v>
      </c>
      <c r="E18" s="39">
        <f t="shared" si="1"/>
        <v>705970</v>
      </c>
      <c r="F18" s="39" t="e">
        <f t="shared" si="1"/>
        <v>#REF!</v>
      </c>
      <c r="G18" s="42">
        <v>277430</v>
      </c>
      <c r="H18" s="42">
        <f t="shared" si="1"/>
        <v>221277</v>
      </c>
      <c r="I18" s="42">
        <f t="shared" si="1"/>
        <v>344777</v>
      </c>
      <c r="J18" s="42" t="e">
        <f t="shared" si="1"/>
        <v>#REF!</v>
      </c>
      <c r="K18" s="42" t="e">
        <f>K20+K21+K22</f>
        <v>#REF!</v>
      </c>
      <c r="L18" s="42">
        <f>+H18-G18</f>
        <v>-56153</v>
      </c>
    </row>
    <row r="19" spans="1:12" s="5" customFormat="1" ht="26.25" customHeight="1">
      <c r="A19" s="69"/>
      <c r="B19" s="48" t="s">
        <v>122</v>
      </c>
      <c r="C19" s="49" t="e">
        <f aca="true" t="shared" si="2" ref="C19:I19">C18/C16</f>
        <v>#REF!</v>
      </c>
      <c r="D19" s="50">
        <f t="shared" si="2"/>
        <v>0.7172013735091534</v>
      </c>
      <c r="E19" s="50">
        <f t="shared" si="2"/>
        <v>0.6768648130393097</v>
      </c>
      <c r="F19" s="50" t="e">
        <f t="shared" si="2"/>
        <v>#REF!</v>
      </c>
      <c r="G19" s="97">
        <v>0.23862072524599187</v>
      </c>
      <c r="H19" s="97">
        <f t="shared" si="2"/>
        <v>0.1836689465121684</v>
      </c>
      <c r="I19" s="97">
        <f t="shared" si="2"/>
        <v>0.25325574336841444</v>
      </c>
      <c r="J19" s="97" t="e">
        <f>J18/J16</f>
        <v>#REF!</v>
      </c>
      <c r="K19" s="97" t="e">
        <f>K18/K16</f>
        <v>#REF!</v>
      </c>
      <c r="L19" s="97">
        <f>+H19-G19</f>
        <v>-0.05495177873382348</v>
      </c>
    </row>
    <row r="20" spans="1:12" s="4" customFormat="1" ht="26.25" customHeight="1">
      <c r="A20" s="52">
        <v>1</v>
      </c>
      <c r="B20" s="53" t="s">
        <v>17</v>
      </c>
      <c r="C20" s="45">
        <v>0</v>
      </c>
      <c r="D20" s="45"/>
      <c r="E20" s="46"/>
      <c r="F20" s="45"/>
      <c r="G20" s="47"/>
      <c r="H20" s="47"/>
      <c r="I20" s="54"/>
      <c r="J20" s="54"/>
      <c r="K20" s="54"/>
      <c r="L20" s="47"/>
    </row>
    <row r="21" spans="1:12" s="4" customFormat="1" ht="26.25" customHeight="1">
      <c r="A21" s="52">
        <v>2</v>
      </c>
      <c r="B21" s="53" t="s">
        <v>10</v>
      </c>
      <c r="C21" s="49"/>
      <c r="D21" s="50"/>
      <c r="E21" s="50"/>
      <c r="F21" s="45"/>
      <c r="G21" s="47">
        <v>16799</v>
      </c>
      <c r="H21" s="47">
        <f>G55</f>
        <v>99526</v>
      </c>
      <c r="I21" s="47">
        <f>+H55</f>
        <v>303026</v>
      </c>
      <c r="J21" s="47" t="e">
        <f>+I55</f>
        <v>#REF!</v>
      </c>
      <c r="K21" s="47" t="e">
        <f>+J55</f>
        <v>#REF!</v>
      </c>
      <c r="L21" s="47">
        <f>+H21-G21</f>
        <v>82727</v>
      </c>
    </row>
    <row r="22" spans="1:12" s="4" customFormat="1" ht="26.25" customHeight="1">
      <c r="A22" s="52">
        <v>3</v>
      </c>
      <c r="B22" s="55" t="s">
        <v>118</v>
      </c>
      <c r="C22" s="45">
        <f aca="true" t="shared" si="3" ref="C22:I22">SUM(C23:C24)</f>
        <v>827353</v>
      </c>
      <c r="D22" s="45">
        <f t="shared" si="3"/>
        <v>705970</v>
      </c>
      <c r="E22" s="45">
        <f t="shared" si="3"/>
        <v>705970</v>
      </c>
      <c r="F22" s="45" t="e">
        <f t="shared" si="3"/>
        <v>#REF!</v>
      </c>
      <c r="G22" s="47">
        <v>260631</v>
      </c>
      <c r="H22" s="47">
        <f t="shared" si="3"/>
        <v>121751</v>
      </c>
      <c r="I22" s="47">
        <f t="shared" si="3"/>
        <v>41751</v>
      </c>
      <c r="J22" s="47">
        <f>SUM(J23:J24)</f>
        <v>-48308</v>
      </c>
      <c r="K22" s="47">
        <f>SUM(K23:K24)</f>
        <v>-138367</v>
      </c>
      <c r="L22" s="47">
        <f>+H22-G22</f>
        <v>-138880</v>
      </c>
    </row>
    <row r="23" spans="1:12" s="74" customFormat="1" ht="18.75" hidden="1">
      <c r="A23" s="70" t="s">
        <v>15</v>
      </c>
      <c r="B23" s="71" t="s">
        <v>87</v>
      </c>
      <c r="C23" s="72">
        <v>389258</v>
      </c>
      <c r="D23" s="72">
        <v>314323</v>
      </c>
      <c r="E23" s="72">
        <v>314323</v>
      </c>
      <c r="F23" s="72" t="e">
        <f aca="true" t="shared" si="4" ref="F23:K24">E57</f>
        <v>#REF!</v>
      </c>
      <c r="G23" s="73">
        <v>37702</v>
      </c>
      <c r="H23" s="73">
        <f>G57</f>
        <v>0</v>
      </c>
      <c r="I23" s="73">
        <f t="shared" si="4"/>
        <v>0</v>
      </c>
      <c r="J23" s="73">
        <f t="shared" si="4"/>
        <v>-37702</v>
      </c>
      <c r="K23" s="73">
        <f t="shared" si="4"/>
        <v>-37702</v>
      </c>
      <c r="L23" s="73">
        <f>+H23-G23</f>
        <v>-37702</v>
      </c>
    </row>
    <row r="24" spans="1:12" s="74" customFormat="1" ht="23.25" customHeight="1" hidden="1">
      <c r="A24" s="70" t="s">
        <v>15</v>
      </c>
      <c r="B24" s="71" t="s">
        <v>8</v>
      </c>
      <c r="C24" s="72">
        <f>438095</f>
        <v>438095</v>
      </c>
      <c r="D24" s="72">
        <v>391647</v>
      </c>
      <c r="E24" s="72">
        <v>391647</v>
      </c>
      <c r="F24" s="72" t="e">
        <f t="shared" si="4"/>
        <v>#REF!</v>
      </c>
      <c r="G24" s="73">
        <v>222929</v>
      </c>
      <c r="H24" s="73">
        <f>G58</f>
        <v>121751</v>
      </c>
      <c r="I24" s="73">
        <f t="shared" si="4"/>
        <v>41751</v>
      </c>
      <c r="J24" s="73">
        <f t="shared" si="4"/>
        <v>-10606</v>
      </c>
      <c r="K24" s="73">
        <f t="shared" si="4"/>
        <v>-100665</v>
      </c>
      <c r="L24" s="73">
        <f>+H24-G24</f>
        <v>-101178</v>
      </c>
    </row>
    <row r="25" spans="1:12" s="8" customFormat="1" ht="26.25" customHeight="1">
      <c r="A25" s="37" t="s">
        <v>11</v>
      </c>
      <c r="B25" s="38" t="s">
        <v>13</v>
      </c>
      <c r="C25" s="39" t="e">
        <f aca="true" t="shared" si="5" ref="C25:I25">C30</f>
        <v>#REF!</v>
      </c>
      <c r="D25" s="39">
        <f t="shared" si="5"/>
        <v>264970</v>
      </c>
      <c r="E25" s="43">
        <f>E30</f>
        <v>174970</v>
      </c>
      <c r="F25" s="39">
        <f t="shared" si="5"/>
        <v>151450</v>
      </c>
      <c r="G25" s="42">
        <f>G30</f>
        <v>138880</v>
      </c>
      <c r="H25" s="42">
        <f>H26</f>
        <v>81300</v>
      </c>
      <c r="I25" s="42">
        <f t="shared" si="5"/>
        <v>90059</v>
      </c>
      <c r="J25" s="42">
        <f>J30</f>
        <v>90059</v>
      </c>
      <c r="K25" s="42">
        <f>K30</f>
        <v>0</v>
      </c>
      <c r="L25" s="42">
        <f>+H25-G25</f>
        <v>-57580</v>
      </c>
    </row>
    <row r="26" spans="1:12" s="4" customFormat="1" ht="26.25" customHeight="1">
      <c r="A26" s="37">
        <v>1</v>
      </c>
      <c r="B26" s="38" t="s">
        <v>14</v>
      </c>
      <c r="C26" s="45"/>
      <c r="D26" s="45"/>
      <c r="E26" s="46"/>
      <c r="F26" s="45"/>
      <c r="G26" s="42">
        <f aca="true" t="shared" si="6" ref="G26:L26">G27+G28+G29</f>
        <v>138880</v>
      </c>
      <c r="H26" s="42">
        <f t="shared" si="6"/>
        <v>81300</v>
      </c>
      <c r="I26" s="42">
        <f t="shared" si="6"/>
        <v>90059</v>
      </c>
      <c r="J26" s="42">
        <f t="shared" si="6"/>
        <v>90059</v>
      </c>
      <c r="K26" s="42">
        <f t="shared" si="6"/>
        <v>0</v>
      </c>
      <c r="L26" s="42">
        <f t="shared" si="6"/>
        <v>-57580</v>
      </c>
    </row>
    <row r="27" spans="1:12" s="4" customFormat="1" ht="26.25" customHeight="1">
      <c r="A27" s="37" t="s">
        <v>15</v>
      </c>
      <c r="B27" s="53" t="s">
        <v>17</v>
      </c>
      <c r="C27" s="45"/>
      <c r="D27" s="45"/>
      <c r="E27" s="46"/>
      <c r="F27" s="45"/>
      <c r="G27" s="47"/>
      <c r="H27" s="47"/>
      <c r="I27" s="47"/>
      <c r="J27" s="47"/>
      <c r="K27" s="47"/>
      <c r="L27" s="42"/>
    </row>
    <row r="28" spans="1:12" s="4" customFormat="1" ht="26.25" customHeight="1">
      <c r="A28" s="58" t="s">
        <v>15</v>
      </c>
      <c r="B28" s="53" t="s">
        <v>10</v>
      </c>
      <c r="C28" s="45"/>
      <c r="D28" s="45"/>
      <c r="E28" s="46"/>
      <c r="F28" s="45"/>
      <c r="G28" s="47"/>
      <c r="H28" s="47">
        <f>1300</f>
        <v>1300</v>
      </c>
      <c r="I28" s="47"/>
      <c r="J28" s="47"/>
      <c r="K28" s="47"/>
      <c r="L28" s="47">
        <f>H28-G28</f>
        <v>1300</v>
      </c>
    </row>
    <row r="29" spans="1:12" s="4" customFormat="1" ht="26.25" customHeight="1">
      <c r="A29" s="58" t="s">
        <v>15</v>
      </c>
      <c r="B29" s="53" t="s">
        <v>109</v>
      </c>
      <c r="C29" s="45"/>
      <c r="D29" s="45"/>
      <c r="E29" s="46"/>
      <c r="F29" s="45"/>
      <c r="G29" s="47">
        <f>G30</f>
        <v>138880</v>
      </c>
      <c r="H29" s="47">
        <f>H30</f>
        <v>80000</v>
      </c>
      <c r="I29" s="47">
        <f>I30</f>
        <v>90059</v>
      </c>
      <c r="J29" s="47">
        <f>J30</f>
        <v>90059</v>
      </c>
      <c r="K29" s="47">
        <f>K30</f>
        <v>0</v>
      </c>
      <c r="L29" s="47">
        <f>H29-G29</f>
        <v>-58880</v>
      </c>
    </row>
    <row r="30" spans="1:14" s="79" customFormat="1" ht="23.25" customHeight="1" hidden="1">
      <c r="A30" s="75" t="s">
        <v>15</v>
      </c>
      <c r="B30" s="76" t="s">
        <v>70</v>
      </c>
      <c r="C30" s="77" t="e">
        <f>C31+C32+#REF!</f>
        <v>#REF!</v>
      </c>
      <c r="D30" s="77">
        <f aca="true" t="shared" si="7" ref="D30:J30">D31+D32</f>
        <v>264970</v>
      </c>
      <c r="E30" s="77">
        <f t="shared" si="7"/>
        <v>174970</v>
      </c>
      <c r="F30" s="77">
        <f t="shared" si="7"/>
        <v>151450</v>
      </c>
      <c r="G30" s="78">
        <f>G31+G32</f>
        <v>138880</v>
      </c>
      <c r="H30" s="78">
        <f t="shared" si="7"/>
        <v>80000</v>
      </c>
      <c r="I30" s="78">
        <f t="shared" si="7"/>
        <v>90059</v>
      </c>
      <c r="J30" s="78">
        <f t="shared" si="7"/>
        <v>90059</v>
      </c>
      <c r="K30" s="78">
        <f>K31+K32</f>
        <v>0</v>
      </c>
      <c r="L30" s="78">
        <f>+H30-G30</f>
        <v>-58880</v>
      </c>
      <c r="N30" s="80"/>
    </row>
    <row r="31" spans="1:12" s="74" customFormat="1" ht="18.75" hidden="1">
      <c r="A31" s="70" t="s">
        <v>16</v>
      </c>
      <c r="B31" s="81" t="s">
        <v>126</v>
      </c>
      <c r="C31" s="73">
        <v>97935</v>
      </c>
      <c r="D31" s="73">
        <v>124350</v>
      </c>
      <c r="E31" s="73">
        <v>124350</v>
      </c>
      <c r="F31" s="72">
        <v>91450</v>
      </c>
      <c r="G31" s="73">
        <v>37702</v>
      </c>
      <c r="H31" s="73">
        <f>+G57</f>
        <v>0</v>
      </c>
      <c r="I31" s="73">
        <v>37702</v>
      </c>
      <c r="J31" s="73">
        <v>0</v>
      </c>
      <c r="K31" s="73">
        <v>0</v>
      </c>
      <c r="L31" s="73">
        <f>+H31-G31</f>
        <v>-37702</v>
      </c>
    </row>
    <row r="32" spans="1:12" s="74" customFormat="1" ht="23.25" customHeight="1" hidden="1">
      <c r="A32" s="70" t="s">
        <v>16</v>
      </c>
      <c r="B32" s="71" t="s">
        <v>8</v>
      </c>
      <c r="C32" s="73">
        <v>46448</v>
      </c>
      <c r="D32" s="73">
        <v>140620</v>
      </c>
      <c r="E32" s="73">
        <v>50620</v>
      </c>
      <c r="F32" s="72">
        <v>60000</v>
      </c>
      <c r="G32" s="73">
        <f>101137+41</f>
        <v>101178</v>
      </c>
      <c r="H32" s="73">
        <f>52398+101252+27528-G32</f>
        <v>80000</v>
      </c>
      <c r="I32" s="73">
        <f>52357</f>
        <v>52357</v>
      </c>
      <c r="J32" s="73">
        <v>90059</v>
      </c>
      <c r="K32" s="73">
        <v>0</v>
      </c>
      <c r="L32" s="73">
        <f>+H32-G32</f>
        <v>-21178</v>
      </c>
    </row>
    <row r="33" spans="1:12" s="8" customFormat="1" ht="26.25" customHeight="1">
      <c r="A33" s="37">
        <v>2</v>
      </c>
      <c r="B33" s="38" t="s">
        <v>113</v>
      </c>
      <c r="C33" s="39"/>
      <c r="D33" s="39" t="e">
        <f>D34+D35+D36+D39+#REF!</f>
        <v>#REF!</v>
      </c>
      <c r="E33" s="39" t="e">
        <f>E34+E35+E36+E39+#REF!</f>
        <v>#REF!</v>
      </c>
      <c r="F33" s="39" t="e">
        <f>F34+F35+F36+F39+#REF!</f>
        <v>#REF!</v>
      </c>
      <c r="G33" s="42">
        <f>G38</f>
        <v>138880</v>
      </c>
      <c r="H33" s="42">
        <f>H38</f>
        <v>81300</v>
      </c>
      <c r="I33" s="42" t="e">
        <f>I34+I35+I36+I39+#REF!</f>
        <v>#REF!</v>
      </c>
      <c r="J33" s="42" t="e">
        <f>J34+J35+J36+J39+#REF!</f>
        <v>#REF!</v>
      </c>
      <c r="K33" s="42" t="e">
        <f>K34+K35+K36+K39+#REF!</f>
        <v>#REF!</v>
      </c>
      <c r="L33" s="42">
        <f>+H33-G33</f>
        <v>-57580</v>
      </c>
    </row>
    <row r="34" spans="1:12" s="8" customFormat="1" ht="26.25" customHeight="1">
      <c r="A34" s="58" t="s">
        <v>15</v>
      </c>
      <c r="B34" s="53" t="s">
        <v>58</v>
      </c>
      <c r="C34" s="39"/>
      <c r="D34" s="39"/>
      <c r="E34" s="39"/>
      <c r="F34" s="39"/>
      <c r="G34" s="47"/>
      <c r="H34" s="47"/>
      <c r="I34" s="47"/>
      <c r="J34" s="47"/>
      <c r="K34" s="47"/>
      <c r="L34" s="47"/>
    </row>
    <row r="35" spans="1:12" s="8" customFormat="1" ht="26.25" customHeight="1">
      <c r="A35" s="58" t="s">
        <v>15</v>
      </c>
      <c r="B35" s="53" t="s">
        <v>59</v>
      </c>
      <c r="C35" s="39"/>
      <c r="D35" s="39"/>
      <c r="E35" s="45">
        <v>11320</v>
      </c>
      <c r="F35" s="45">
        <v>93500</v>
      </c>
      <c r="G35" s="47"/>
      <c r="H35" s="47"/>
      <c r="I35" s="47">
        <v>37702</v>
      </c>
      <c r="J35" s="47">
        <v>14917</v>
      </c>
      <c r="K35" s="47"/>
      <c r="L35" s="47"/>
    </row>
    <row r="36" spans="1:12" s="8" customFormat="1" ht="26.25" customHeight="1">
      <c r="A36" s="58" t="s">
        <v>15</v>
      </c>
      <c r="B36" s="53" t="s">
        <v>123</v>
      </c>
      <c r="C36" s="39"/>
      <c r="D36" s="39"/>
      <c r="E36" s="39"/>
      <c r="F36" s="39"/>
      <c r="G36" s="47"/>
      <c r="H36" s="47"/>
      <c r="I36" s="42"/>
      <c r="J36" s="42"/>
      <c r="K36" s="42"/>
      <c r="L36" s="47"/>
    </row>
    <row r="37" spans="1:12" s="8" customFormat="1" ht="26.25" customHeight="1">
      <c r="A37" s="58" t="s">
        <v>15</v>
      </c>
      <c r="B37" s="53" t="s">
        <v>110</v>
      </c>
      <c r="C37" s="39"/>
      <c r="D37" s="39"/>
      <c r="E37" s="39"/>
      <c r="F37" s="39"/>
      <c r="G37" s="47"/>
      <c r="H37" s="47"/>
      <c r="I37" s="42"/>
      <c r="J37" s="42"/>
      <c r="K37" s="42"/>
      <c r="L37" s="47"/>
    </row>
    <row r="38" spans="1:12" s="8" customFormat="1" ht="26.25" customHeight="1">
      <c r="A38" s="58" t="s">
        <v>15</v>
      </c>
      <c r="B38" s="53" t="s">
        <v>114</v>
      </c>
      <c r="C38" s="39"/>
      <c r="D38" s="39"/>
      <c r="E38" s="39"/>
      <c r="F38" s="39"/>
      <c r="G38" s="47">
        <f>G39+G40</f>
        <v>138880</v>
      </c>
      <c r="H38" s="47">
        <v>81300</v>
      </c>
      <c r="I38" s="42"/>
      <c r="J38" s="42"/>
      <c r="K38" s="42"/>
      <c r="L38" s="47">
        <f>+H38-G38</f>
        <v>-57580</v>
      </c>
    </row>
    <row r="39" spans="1:12" s="86" customFormat="1" ht="23.25" customHeight="1" hidden="1">
      <c r="A39" s="75" t="s">
        <v>15</v>
      </c>
      <c r="B39" s="84" t="s">
        <v>69</v>
      </c>
      <c r="C39" s="85"/>
      <c r="D39" s="77" t="e">
        <f>#REF!+#REF!</f>
        <v>#REF!</v>
      </c>
      <c r="E39" s="77" t="e">
        <f>#REF!+#REF!</f>
        <v>#REF!</v>
      </c>
      <c r="F39" s="77"/>
      <c r="G39" s="78">
        <v>37702</v>
      </c>
      <c r="H39" s="78"/>
      <c r="I39" s="78" t="e">
        <f>+#REF!+#REF!</f>
        <v>#REF!</v>
      </c>
      <c r="J39" s="78" t="e">
        <f>+#REF!+#REF!</f>
        <v>#REF!</v>
      </c>
      <c r="K39" s="78" t="e">
        <f>+#REF!+#REF!</f>
        <v>#REF!</v>
      </c>
      <c r="L39" s="78"/>
    </row>
    <row r="40" spans="1:12" s="74" customFormat="1" ht="20.25" customHeight="1" hidden="1">
      <c r="A40" s="82" t="s">
        <v>15</v>
      </c>
      <c r="B40" s="76" t="s">
        <v>117</v>
      </c>
      <c r="C40" s="72"/>
      <c r="D40" s="72"/>
      <c r="E40" s="72"/>
      <c r="F40" s="72"/>
      <c r="G40" s="73">
        <f>101137+41</f>
        <v>101178</v>
      </c>
      <c r="H40" s="73">
        <v>80000</v>
      </c>
      <c r="I40" s="73"/>
      <c r="J40" s="73"/>
      <c r="K40" s="73"/>
      <c r="L40" s="73"/>
    </row>
    <row r="41" spans="1:12" s="74" customFormat="1" ht="20.25" customHeight="1" hidden="1">
      <c r="A41" s="82"/>
      <c r="B41" s="76" t="s">
        <v>10</v>
      </c>
      <c r="C41" s="72"/>
      <c r="D41" s="72"/>
      <c r="E41" s="72"/>
      <c r="F41" s="72"/>
      <c r="G41" s="73"/>
      <c r="H41" s="73">
        <v>1300</v>
      </c>
      <c r="I41" s="73"/>
      <c r="J41" s="73"/>
      <c r="K41" s="73"/>
      <c r="L41" s="73"/>
    </row>
    <row r="42" spans="1:12" s="4" customFormat="1" ht="26.25" customHeight="1">
      <c r="A42" s="58" t="s">
        <v>12</v>
      </c>
      <c r="B42" s="38" t="s">
        <v>124</v>
      </c>
      <c r="C42" s="45"/>
      <c r="D42" s="39">
        <f aca="true" t="shared" si="8" ref="D42:J42">D46</f>
        <v>253660</v>
      </c>
      <c r="E42" s="39">
        <f t="shared" si="8"/>
        <v>0</v>
      </c>
      <c r="F42" s="39">
        <f t="shared" si="8"/>
        <v>5969</v>
      </c>
      <c r="G42" s="42">
        <f>G46</f>
        <v>82727</v>
      </c>
      <c r="H42" s="42">
        <f t="shared" si="8"/>
        <v>204800</v>
      </c>
      <c r="I42" s="42" t="e">
        <f t="shared" si="8"/>
        <v>#REF!</v>
      </c>
      <c r="J42" s="42" t="e">
        <f t="shared" si="8"/>
        <v>#REF!</v>
      </c>
      <c r="K42" s="42">
        <f>K46</f>
        <v>0</v>
      </c>
      <c r="L42" s="42">
        <f>+H42-G42</f>
        <v>122073</v>
      </c>
    </row>
    <row r="43" spans="1:12" s="8" customFormat="1" ht="26.25" customHeight="1">
      <c r="A43" s="58">
        <v>1</v>
      </c>
      <c r="B43" s="38" t="s">
        <v>61</v>
      </c>
      <c r="C43" s="39"/>
      <c r="D43" s="39">
        <f aca="true" t="shared" si="9" ref="D43:J43">D44+D45</f>
        <v>253660</v>
      </c>
      <c r="E43" s="39">
        <f t="shared" si="9"/>
        <v>0</v>
      </c>
      <c r="F43" s="39">
        <f t="shared" si="9"/>
        <v>5969</v>
      </c>
      <c r="G43" s="42">
        <f>G44+G45</f>
        <v>82727</v>
      </c>
      <c r="H43" s="42">
        <f t="shared" si="9"/>
        <v>204800</v>
      </c>
      <c r="I43" s="42" t="e">
        <f t="shared" si="9"/>
        <v>#REF!</v>
      </c>
      <c r="J43" s="42" t="e">
        <f t="shared" si="9"/>
        <v>#REF!</v>
      </c>
      <c r="K43" s="42">
        <f>K44+K45</f>
        <v>0</v>
      </c>
      <c r="L43" s="42">
        <f>+H43-G43</f>
        <v>122073</v>
      </c>
    </row>
    <row r="44" spans="1:12" s="4" customFormat="1" ht="26.25" customHeight="1">
      <c r="A44" s="58" t="s">
        <v>15</v>
      </c>
      <c r="B44" s="53" t="s">
        <v>62</v>
      </c>
      <c r="C44" s="45"/>
      <c r="D44" s="45">
        <v>253660</v>
      </c>
      <c r="E44" s="46"/>
      <c r="F44" s="46">
        <v>5969</v>
      </c>
      <c r="G44" s="109">
        <v>82727</v>
      </c>
      <c r="H44" s="47">
        <v>204800</v>
      </c>
      <c r="I44" s="47" t="e">
        <f>I48</f>
        <v>#REF!</v>
      </c>
      <c r="J44" s="47" t="e">
        <f>J48</f>
        <v>#REF!</v>
      </c>
      <c r="K44" s="47">
        <f>K48</f>
        <v>0</v>
      </c>
      <c r="L44" s="47">
        <f>+H44-G44</f>
        <v>122073</v>
      </c>
    </row>
    <row r="45" spans="1:12" s="4" customFormat="1" ht="26.25" customHeight="1">
      <c r="A45" s="58" t="s">
        <v>15</v>
      </c>
      <c r="B45" s="53" t="s">
        <v>63</v>
      </c>
      <c r="C45" s="45"/>
      <c r="D45" s="45"/>
      <c r="E45" s="46"/>
      <c r="F45" s="46"/>
      <c r="G45" s="107"/>
      <c r="H45" s="57"/>
      <c r="I45" s="57"/>
      <c r="J45" s="57"/>
      <c r="K45" s="57"/>
      <c r="L45" s="57"/>
    </row>
    <row r="46" spans="1:12" s="4" customFormat="1" ht="26.25" customHeight="1">
      <c r="A46" s="58">
        <v>2</v>
      </c>
      <c r="B46" s="38" t="s">
        <v>64</v>
      </c>
      <c r="C46" s="45"/>
      <c r="D46" s="39">
        <f aca="true" t="shared" si="10" ref="D46:J46">SUM(D47:D49)</f>
        <v>253660</v>
      </c>
      <c r="E46" s="39">
        <f t="shared" si="10"/>
        <v>0</v>
      </c>
      <c r="F46" s="39">
        <f t="shared" si="10"/>
        <v>5969</v>
      </c>
      <c r="G46" s="41">
        <f>SUM(G47:G49)</f>
        <v>82727</v>
      </c>
      <c r="H46" s="42">
        <f t="shared" si="10"/>
        <v>204800</v>
      </c>
      <c r="I46" s="42" t="e">
        <f t="shared" si="10"/>
        <v>#REF!</v>
      </c>
      <c r="J46" s="42" t="e">
        <f t="shared" si="10"/>
        <v>#REF!</v>
      </c>
      <c r="K46" s="42">
        <f>SUM(K47:K49)</f>
        <v>0</v>
      </c>
      <c r="L46" s="42">
        <f>+H46-G46</f>
        <v>122073</v>
      </c>
    </row>
    <row r="47" spans="1:12" s="4" customFormat="1" ht="26.25" customHeight="1">
      <c r="A47" s="58" t="s">
        <v>15</v>
      </c>
      <c r="B47" s="53" t="s">
        <v>17</v>
      </c>
      <c r="C47" s="45"/>
      <c r="D47" s="45"/>
      <c r="E47" s="46"/>
      <c r="F47" s="46"/>
      <c r="G47" s="107"/>
      <c r="H47" s="57"/>
      <c r="I47" s="57"/>
      <c r="J47" s="57"/>
      <c r="K47" s="57"/>
      <c r="L47" s="57"/>
    </row>
    <row r="48" spans="1:12" s="4" customFormat="1" ht="26.25" customHeight="1">
      <c r="A48" s="58" t="s">
        <v>15</v>
      </c>
      <c r="B48" s="53" t="s">
        <v>10</v>
      </c>
      <c r="C48" s="45"/>
      <c r="D48" s="45">
        <v>9890</v>
      </c>
      <c r="E48" s="46"/>
      <c r="F48" s="46">
        <v>5969</v>
      </c>
      <c r="G48" s="109">
        <v>82727</v>
      </c>
      <c r="H48" s="47">
        <v>204800</v>
      </c>
      <c r="I48" s="47" t="e">
        <f>+#REF!</f>
        <v>#REF!</v>
      </c>
      <c r="J48" s="47" t="e">
        <f>+#REF!</f>
        <v>#REF!</v>
      </c>
      <c r="K48" s="47"/>
      <c r="L48" s="47">
        <f>+H48-G48</f>
        <v>122073</v>
      </c>
    </row>
    <row r="49" spans="1:12" s="4" customFormat="1" ht="26.25" customHeight="1">
      <c r="A49" s="58" t="s">
        <v>15</v>
      </c>
      <c r="B49" s="55" t="s">
        <v>118</v>
      </c>
      <c r="C49" s="45"/>
      <c r="D49" s="45">
        <f>D50+D51</f>
        <v>243770</v>
      </c>
      <c r="E49" s="45"/>
      <c r="F49" s="46"/>
      <c r="G49" s="47"/>
      <c r="H49" s="47"/>
      <c r="I49" s="47"/>
      <c r="J49" s="47"/>
      <c r="K49" s="47"/>
      <c r="L49" s="47"/>
    </row>
    <row r="50" spans="1:12" s="74" customFormat="1" ht="19.5" hidden="1">
      <c r="A50" s="82" t="s">
        <v>16</v>
      </c>
      <c r="B50" s="71" t="s">
        <v>87</v>
      </c>
      <c r="C50" s="72"/>
      <c r="D50" s="72">
        <v>243770</v>
      </c>
      <c r="E50" s="72"/>
      <c r="F50" s="72"/>
      <c r="G50" s="73"/>
      <c r="H50" s="73"/>
      <c r="I50" s="73"/>
      <c r="J50" s="73"/>
      <c r="K50" s="73"/>
      <c r="L50" s="73"/>
    </row>
    <row r="51" spans="1:12" s="74" customFormat="1" ht="23.25" customHeight="1" hidden="1">
      <c r="A51" s="82" t="s">
        <v>16</v>
      </c>
      <c r="B51" s="71" t="s">
        <v>8</v>
      </c>
      <c r="C51" s="72"/>
      <c r="D51" s="72"/>
      <c r="E51" s="72"/>
      <c r="F51" s="72"/>
      <c r="G51" s="73"/>
      <c r="H51" s="73"/>
      <c r="I51" s="73"/>
      <c r="J51" s="73"/>
      <c r="K51" s="73"/>
      <c r="L51" s="73"/>
    </row>
    <row r="52" spans="1:12" s="4" customFormat="1" ht="26.25" customHeight="1">
      <c r="A52" s="37" t="s">
        <v>18</v>
      </c>
      <c r="B52" s="38" t="s">
        <v>19</v>
      </c>
      <c r="C52" s="61" t="e">
        <f>#REF!+#REF!+#REF!</f>
        <v>#REF!</v>
      </c>
      <c r="D52" s="61" t="e">
        <f aca="true" t="shared" si="11" ref="D52:J52">D54+D55+D56</f>
        <v>#REF!</v>
      </c>
      <c r="E52" s="61" t="e">
        <f t="shared" si="11"/>
        <v>#REF!</v>
      </c>
      <c r="F52" s="61" t="e">
        <f t="shared" si="11"/>
        <v>#REF!</v>
      </c>
      <c r="G52" s="42">
        <f>G54+G55+G56</f>
        <v>221277</v>
      </c>
      <c r="H52" s="42">
        <f t="shared" si="11"/>
        <v>344777</v>
      </c>
      <c r="I52" s="42" t="e">
        <f t="shared" si="11"/>
        <v>#REF!</v>
      </c>
      <c r="J52" s="42" t="e">
        <f t="shared" si="11"/>
        <v>#REF!</v>
      </c>
      <c r="K52" s="42" t="e">
        <f>K54+K55+K56</f>
        <v>#REF!</v>
      </c>
      <c r="L52" s="42">
        <f>+H52-G52</f>
        <v>123500</v>
      </c>
    </row>
    <row r="53" spans="1:12" s="5" customFormat="1" ht="26.25" customHeight="1">
      <c r="A53" s="56"/>
      <c r="B53" s="48" t="s">
        <v>88</v>
      </c>
      <c r="C53" s="49" t="e">
        <f aca="true" t="shared" si="12" ref="C53:K53">C52/C16</f>
        <v>#REF!</v>
      </c>
      <c r="D53" s="50" t="e">
        <f t="shared" si="12"/>
        <v>#REF!</v>
      </c>
      <c r="E53" s="50" t="e">
        <f t="shared" si="12"/>
        <v>#REF!</v>
      </c>
      <c r="F53" s="50" t="e">
        <f t="shared" si="12"/>
        <v>#REF!</v>
      </c>
      <c r="G53" s="97">
        <f t="shared" si="12"/>
        <v>0.18610157004302733</v>
      </c>
      <c r="H53" s="97">
        <f t="shared" si="12"/>
        <v>0.2861789900063083</v>
      </c>
      <c r="I53" s="51" t="e">
        <f t="shared" si="12"/>
        <v>#REF!</v>
      </c>
      <c r="J53" s="51" t="e">
        <f t="shared" si="12"/>
        <v>#REF!</v>
      </c>
      <c r="K53" s="51" t="e">
        <f t="shared" si="12"/>
        <v>#REF!</v>
      </c>
      <c r="L53" s="97">
        <f>+H53-G53</f>
        <v>0.10007741996328098</v>
      </c>
    </row>
    <row r="54" spans="1:12" s="5" customFormat="1" ht="26.25" customHeight="1">
      <c r="A54" s="52">
        <v>1</v>
      </c>
      <c r="B54" s="53" t="s">
        <v>17</v>
      </c>
      <c r="C54" s="49"/>
      <c r="D54" s="45"/>
      <c r="E54" s="45"/>
      <c r="F54" s="61"/>
      <c r="G54" s="62"/>
      <c r="H54" s="62"/>
      <c r="I54" s="62"/>
      <c r="J54" s="62"/>
      <c r="K54" s="62"/>
      <c r="L54" s="47"/>
    </row>
    <row r="55" spans="1:12" s="5" customFormat="1" ht="26.25" customHeight="1">
      <c r="A55" s="56">
        <v>2</v>
      </c>
      <c r="B55" s="53" t="s">
        <v>10</v>
      </c>
      <c r="C55" s="49"/>
      <c r="D55" s="45">
        <f aca="true" t="shared" si="13" ref="D55:K55">D21+D48-D28</f>
        <v>9890</v>
      </c>
      <c r="E55" s="45">
        <f t="shared" si="13"/>
        <v>0</v>
      </c>
      <c r="F55" s="45">
        <f t="shared" si="13"/>
        <v>5969</v>
      </c>
      <c r="G55" s="47">
        <f>G21+G48-G28</f>
        <v>99526</v>
      </c>
      <c r="H55" s="47">
        <f>H21+H48-H28</f>
        <v>303026</v>
      </c>
      <c r="I55" s="47" t="e">
        <f t="shared" si="13"/>
        <v>#REF!</v>
      </c>
      <c r="J55" s="47" t="e">
        <f t="shared" si="13"/>
        <v>#REF!</v>
      </c>
      <c r="K55" s="47" t="e">
        <f t="shared" si="13"/>
        <v>#REF!</v>
      </c>
      <c r="L55" s="47">
        <f>+H55-G55</f>
        <v>203500</v>
      </c>
    </row>
    <row r="56" spans="1:12" s="5" customFormat="1" ht="26.25" customHeight="1">
      <c r="A56" s="56">
        <v>3</v>
      </c>
      <c r="B56" s="55" t="s">
        <v>109</v>
      </c>
      <c r="C56" s="49"/>
      <c r="D56" s="45" t="e">
        <f aca="true" t="shared" si="14" ref="D56:J56">D57+D58</f>
        <v>#REF!</v>
      </c>
      <c r="E56" s="45" t="e">
        <f t="shared" si="14"/>
        <v>#REF!</v>
      </c>
      <c r="F56" s="45" t="e">
        <f t="shared" si="14"/>
        <v>#REF!</v>
      </c>
      <c r="G56" s="47">
        <f>G57+G58</f>
        <v>121751</v>
      </c>
      <c r="H56" s="47">
        <f>H57+H58</f>
        <v>41751</v>
      </c>
      <c r="I56" s="47">
        <f t="shared" si="14"/>
        <v>-48308</v>
      </c>
      <c r="J56" s="47">
        <f t="shared" si="14"/>
        <v>-138367</v>
      </c>
      <c r="K56" s="47">
        <f>K57+K58</f>
        <v>-138367</v>
      </c>
      <c r="L56" s="47">
        <f>+H56-G56</f>
        <v>-80000</v>
      </c>
    </row>
    <row r="57" spans="1:12" s="74" customFormat="1" ht="18.75" hidden="1">
      <c r="A57" s="70" t="s">
        <v>15</v>
      </c>
      <c r="B57" s="71" t="s">
        <v>87</v>
      </c>
      <c r="C57" s="83"/>
      <c r="D57" s="72" t="e">
        <f>D23+D50-D39</f>
        <v>#REF!</v>
      </c>
      <c r="E57" s="72" t="e">
        <f>E23+E50-E39</f>
        <v>#REF!</v>
      </c>
      <c r="F57" s="72" t="e">
        <f aca="true" t="shared" si="15" ref="F57:K57">F23+F50-F31</f>
        <v>#REF!</v>
      </c>
      <c r="G57" s="73">
        <f t="shared" si="15"/>
        <v>0</v>
      </c>
      <c r="H57" s="73">
        <f t="shared" si="15"/>
        <v>0</v>
      </c>
      <c r="I57" s="73">
        <f t="shared" si="15"/>
        <v>-37702</v>
      </c>
      <c r="J57" s="73">
        <f t="shared" si="15"/>
        <v>-37702</v>
      </c>
      <c r="K57" s="73">
        <f t="shared" si="15"/>
        <v>-37702</v>
      </c>
      <c r="L57" s="73">
        <f>+H57-G57</f>
        <v>0</v>
      </c>
    </row>
    <row r="58" spans="1:12" s="74" customFormat="1" ht="23.25" customHeight="1" hidden="1">
      <c r="A58" s="70" t="s">
        <v>15</v>
      </c>
      <c r="B58" s="71" t="s">
        <v>8</v>
      </c>
      <c r="C58" s="83"/>
      <c r="D58" s="72" t="e">
        <f>D24+D51-#REF!</f>
        <v>#REF!</v>
      </c>
      <c r="E58" s="72" t="e">
        <f>E24+E51-#REF!-11320</f>
        <v>#REF!</v>
      </c>
      <c r="F58" s="72" t="e">
        <f>F24+F51-F32</f>
        <v>#REF!</v>
      </c>
      <c r="G58" s="73">
        <f>G24-G32</f>
        <v>121751</v>
      </c>
      <c r="H58" s="73">
        <f>H24+H51-H32</f>
        <v>41751</v>
      </c>
      <c r="I58" s="73">
        <f>I24+I51-I32</f>
        <v>-10606</v>
      </c>
      <c r="J58" s="73">
        <f>J24+J51-J32</f>
        <v>-100665</v>
      </c>
      <c r="K58" s="73">
        <f>K24+K51-K32</f>
        <v>-100665</v>
      </c>
      <c r="L58" s="73">
        <f>+H58-G58</f>
        <v>-80000</v>
      </c>
    </row>
    <row r="59" spans="1:12" s="4" customFormat="1" ht="26.25" customHeight="1">
      <c r="A59" s="92" t="s">
        <v>67</v>
      </c>
      <c r="B59" s="93" t="s">
        <v>68</v>
      </c>
      <c r="C59" s="94">
        <f aca="true" t="shared" si="16" ref="C59:I59">SUM(C60:C62)</f>
        <v>712</v>
      </c>
      <c r="D59" s="94">
        <f t="shared" si="16"/>
        <v>198</v>
      </c>
      <c r="E59" s="95">
        <f t="shared" si="16"/>
        <v>0</v>
      </c>
      <c r="F59" s="94" t="e">
        <f t="shared" si="16"/>
        <v>#REF!</v>
      </c>
      <c r="G59" s="96">
        <v>7600</v>
      </c>
      <c r="H59" s="96">
        <f t="shared" si="16"/>
        <v>15400</v>
      </c>
      <c r="I59" s="96" t="e">
        <f t="shared" si="16"/>
        <v>#REF!</v>
      </c>
      <c r="J59" s="96" t="e">
        <f>SUM(J60:J62)</f>
        <v>#REF!</v>
      </c>
      <c r="K59" s="96" t="e">
        <f>SUM(K60:K62)</f>
        <v>#REF!</v>
      </c>
      <c r="L59" s="96">
        <f>+H59-G59</f>
        <v>7800</v>
      </c>
    </row>
    <row r="60" spans="1:12" s="4" customFormat="1" ht="23.25" customHeight="1" hidden="1">
      <c r="A60" s="87">
        <v>1</v>
      </c>
      <c r="B60" s="88" t="s">
        <v>17</v>
      </c>
      <c r="C60" s="89"/>
      <c r="D60" s="89"/>
      <c r="E60" s="90"/>
      <c r="F60" s="89"/>
      <c r="G60" s="91"/>
      <c r="H60" s="91"/>
      <c r="I60" s="91"/>
      <c r="J60" s="91"/>
      <c r="K60" s="91"/>
      <c r="L60" s="91"/>
    </row>
    <row r="61" spans="1:12" s="4" customFormat="1" ht="23.25" customHeight="1" hidden="1">
      <c r="A61" s="52">
        <v>2</v>
      </c>
      <c r="B61" s="53" t="s">
        <v>10</v>
      </c>
      <c r="C61" s="45">
        <v>712</v>
      </c>
      <c r="D61" s="45">
        <v>198</v>
      </c>
      <c r="E61" s="46">
        <v>0</v>
      </c>
      <c r="F61" s="45" t="e">
        <f>PL02!#REF!</f>
        <v>#REF!</v>
      </c>
      <c r="G61" s="47">
        <v>7600</v>
      </c>
      <c r="H61" s="47">
        <v>15400</v>
      </c>
      <c r="I61" s="47" t="e">
        <f>+#REF!</f>
        <v>#REF!</v>
      </c>
      <c r="J61" s="47" t="e">
        <f>+#REF!</f>
        <v>#REF!</v>
      </c>
      <c r="K61" s="47" t="e">
        <f>+#REF!</f>
        <v>#REF!</v>
      </c>
      <c r="L61" s="47">
        <f>+H61-G61</f>
        <v>7800</v>
      </c>
    </row>
    <row r="62" spans="1:12" s="4" customFormat="1" ht="23.25" customHeight="1" hidden="1">
      <c r="A62" s="63">
        <v>3</v>
      </c>
      <c r="B62" s="64" t="s">
        <v>57</v>
      </c>
      <c r="C62" s="65"/>
      <c r="D62" s="65"/>
      <c r="E62" s="66"/>
      <c r="F62" s="65"/>
      <c r="G62" s="67"/>
      <c r="H62" s="67"/>
      <c r="I62" s="67"/>
      <c r="J62" s="67"/>
      <c r="K62" s="67"/>
      <c r="L62" s="68"/>
    </row>
    <row r="63" spans="1:12" ht="66" customHeight="1">
      <c r="A63" s="168" t="s">
        <v>125</v>
      </c>
      <c r="B63" s="168"/>
      <c r="C63" s="168"/>
      <c r="D63" s="168"/>
      <c r="E63" s="168"/>
      <c r="F63" s="168"/>
      <c r="G63" s="168"/>
      <c r="H63" s="168"/>
      <c r="I63" s="168"/>
      <c r="J63" s="168"/>
      <c r="K63" s="168"/>
      <c r="L63" s="168"/>
    </row>
    <row r="64" ht="15.75" hidden="1">
      <c r="G64" s="25" t="s">
        <v>81</v>
      </c>
    </row>
    <row r="65" spans="2:7" ht="15.75" hidden="1">
      <c r="B65" s="10" t="s">
        <v>75</v>
      </c>
      <c r="G65" s="10" t="s">
        <v>77</v>
      </c>
    </row>
    <row r="66" spans="2:7" ht="15.75" hidden="1">
      <c r="B66" s="10"/>
      <c r="G66" s="10"/>
    </row>
    <row r="67" spans="2:7" ht="15.75" hidden="1">
      <c r="B67" s="10"/>
      <c r="G67" s="10"/>
    </row>
    <row r="68" spans="2:7" ht="15.75" hidden="1">
      <c r="B68" s="10"/>
      <c r="G68" s="10"/>
    </row>
    <row r="69" spans="2:7" ht="15.75" hidden="1">
      <c r="B69" s="10"/>
      <c r="G69" s="10"/>
    </row>
    <row r="70" spans="2:7" ht="15.75" hidden="1">
      <c r="B70" s="10" t="s">
        <v>76</v>
      </c>
      <c r="G70" s="10" t="s">
        <v>80</v>
      </c>
    </row>
  </sheetData>
  <sheetProtection/>
  <mergeCells count="17">
    <mergeCell ref="A1:L1"/>
    <mergeCell ref="A63:L63"/>
    <mergeCell ref="A7:A8"/>
    <mergeCell ref="B7:B8"/>
    <mergeCell ref="C7:C8"/>
    <mergeCell ref="D7:E7"/>
    <mergeCell ref="F7:F8"/>
    <mergeCell ref="G7:G8"/>
    <mergeCell ref="H7:H8"/>
    <mergeCell ref="I7:I8"/>
    <mergeCell ref="J7:J8"/>
    <mergeCell ref="K7:K8"/>
    <mergeCell ref="A2:L2"/>
    <mergeCell ref="A3:L3"/>
    <mergeCell ref="A4:L4"/>
    <mergeCell ref="E6:L6"/>
    <mergeCell ref="L7:L8"/>
  </mergeCells>
  <printOptions horizontalCentered="1"/>
  <pageMargins left="0.1968503937007874" right="0.1968503937007874" top="0.4724409448818898" bottom="0.2362204724409449" header="0.15748031496062992" footer="0.2362204724409449"/>
  <pageSetup horizontalDpi="600" verticalDpi="600" orientation="portrait" paperSize="9" scale="6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Z20"/>
  <sheetViews>
    <sheetView zoomScale="70" zoomScaleNormal="70" zoomScalePageLayoutView="0" workbookViewId="0" topLeftCell="A1">
      <selection activeCell="B2" sqref="B2:Z2"/>
    </sheetView>
  </sheetViews>
  <sheetFormatPr defaultColWidth="9.00390625" defaultRowHeight="15.75"/>
  <cols>
    <col min="1" max="1" width="4.625" style="18" customWidth="1"/>
    <col min="2" max="2" width="41.25390625" style="20" customWidth="1"/>
    <col min="3" max="3" width="12.625" style="18" customWidth="1"/>
    <col min="4" max="4" width="15.25390625" style="18" customWidth="1"/>
    <col min="5" max="6" width="10.25390625" style="18" customWidth="1"/>
    <col min="7" max="7" width="12.625" style="18" hidden="1" customWidth="1"/>
    <col min="8" max="8" width="10.25390625" style="18" customWidth="1"/>
    <col min="9" max="9" width="11.00390625" style="18" hidden="1" customWidth="1"/>
    <col min="10" max="10" width="7.75390625" style="18" customWidth="1"/>
    <col min="11" max="11" width="7.75390625" style="21" customWidth="1"/>
    <col min="12" max="12" width="7.75390625" style="18" customWidth="1"/>
    <col min="13" max="13" width="11.875" style="18" customWidth="1"/>
    <col min="14" max="14" width="10.25390625" style="18" customWidth="1"/>
    <col min="15" max="15" width="7.75390625" style="18" customWidth="1"/>
    <col min="16" max="19" width="10.25390625" style="18" customWidth="1"/>
    <col min="20" max="20" width="10.25390625" style="18" hidden="1" customWidth="1"/>
    <col min="21" max="23" width="10.25390625" style="18" customWidth="1"/>
    <col min="24" max="24" width="9.50390625" style="18" hidden="1" customWidth="1"/>
    <col min="25" max="25" width="9.625" style="19" hidden="1" customWidth="1"/>
    <col min="26" max="26" width="10.25390625" style="19" hidden="1" customWidth="1"/>
    <col min="27" max="16384" width="9.00390625" style="19" customWidth="1"/>
  </cols>
  <sheetData>
    <row r="1" spans="1:26" ht="23.25" customHeight="1">
      <c r="A1" s="176" t="s">
        <v>92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57"/>
      <c r="Z1" s="157"/>
    </row>
    <row r="2" spans="1:26" ht="23.25" customHeight="1">
      <c r="A2" s="158"/>
      <c r="B2" s="176" t="s">
        <v>133</v>
      </c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</row>
    <row r="3" spans="1:26" ht="23.25" customHeight="1" hidden="1">
      <c r="A3" s="178" t="str">
        <f>+PL01!A3</f>
        <v>(Kèm theo Tờ trình số ……….. /TTr-UBND ngày ……./11/2020 của Ủy ban nhân dân tỉnh An Giang)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</row>
    <row r="4" spans="1:26" ht="23.25" customHeight="1">
      <c r="A4" s="178" t="str">
        <f>+PL01!A4</f>
        <v>(Kèm theo Nghị quyết số              /NQ-HĐND ngày          tháng 12 năm 2020 của Hội đồng nhân dân tỉnh An Giang)</v>
      </c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59"/>
      <c r="Y4" s="159"/>
      <c r="Z4" s="159"/>
    </row>
    <row r="5" spans="21:23" ht="24" customHeight="1">
      <c r="U5" s="29"/>
      <c r="V5" s="177" t="s">
        <v>99</v>
      </c>
      <c r="W5" s="177"/>
    </row>
    <row r="6" spans="1:26" s="102" customFormat="1" ht="43.5" customHeight="1">
      <c r="A6" s="172" t="s">
        <v>22</v>
      </c>
      <c r="B6" s="172" t="s">
        <v>23</v>
      </c>
      <c r="C6" s="172" t="s">
        <v>24</v>
      </c>
      <c r="D6" s="172" t="s">
        <v>25</v>
      </c>
      <c r="E6" s="172" t="s">
        <v>26</v>
      </c>
      <c r="F6" s="172"/>
      <c r="G6" s="172"/>
      <c r="H6" s="172"/>
      <c r="I6" s="172" t="s">
        <v>27</v>
      </c>
      <c r="J6" s="172" t="s">
        <v>28</v>
      </c>
      <c r="K6" s="172" t="s">
        <v>29</v>
      </c>
      <c r="L6" s="172"/>
      <c r="M6" s="172" t="s">
        <v>30</v>
      </c>
      <c r="N6" s="172"/>
      <c r="O6" s="172"/>
      <c r="P6" s="173" t="s">
        <v>145</v>
      </c>
      <c r="Q6" s="172" t="s">
        <v>134</v>
      </c>
      <c r="R6" s="172" t="s">
        <v>37</v>
      </c>
      <c r="S6" s="172"/>
      <c r="T6" s="172"/>
      <c r="U6" s="173" t="s">
        <v>146</v>
      </c>
      <c r="V6" s="172" t="s">
        <v>38</v>
      </c>
      <c r="W6" s="172"/>
      <c r="X6" s="179" t="s">
        <v>38</v>
      </c>
      <c r="Y6" s="179"/>
      <c r="Z6" s="180"/>
    </row>
    <row r="7" spans="1:26" s="102" customFormat="1" ht="44.25" customHeight="1">
      <c r="A7" s="172"/>
      <c r="B7" s="172"/>
      <c r="C7" s="172"/>
      <c r="D7" s="172"/>
      <c r="E7" s="172" t="s">
        <v>31</v>
      </c>
      <c r="F7" s="172" t="s">
        <v>32</v>
      </c>
      <c r="G7" s="172"/>
      <c r="H7" s="172"/>
      <c r="I7" s="172"/>
      <c r="J7" s="172"/>
      <c r="K7" s="172" t="s">
        <v>33</v>
      </c>
      <c r="L7" s="172" t="s">
        <v>34</v>
      </c>
      <c r="M7" s="172" t="s">
        <v>73</v>
      </c>
      <c r="N7" s="172" t="s">
        <v>35</v>
      </c>
      <c r="O7" s="172" t="s">
        <v>52</v>
      </c>
      <c r="P7" s="174"/>
      <c r="Q7" s="172"/>
      <c r="R7" s="174" t="s">
        <v>108</v>
      </c>
      <c r="S7" s="174" t="s">
        <v>135</v>
      </c>
      <c r="T7" s="174" t="s">
        <v>50</v>
      </c>
      <c r="U7" s="174"/>
      <c r="V7" s="172" t="s">
        <v>136</v>
      </c>
      <c r="W7" s="173" t="s">
        <v>50</v>
      </c>
      <c r="X7" s="172" t="s">
        <v>139</v>
      </c>
      <c r="Y7" s="172"/>
      <c r="Z7" s="172"/>
    </row>
    <row r="8" spans="1:26" s="102" customFormat="1" ht="44.25" customHeight="1">
      <c r="A8" s="172"/>
      <c r="B8" s="172"/>
      <c r="C8" s="172"/>
      <c r="D8" s="172"/>
      <c r="E8" s="172"/>
      <c r="F8" s="172" t="s">
        <v>39</v>
      </c>
      <c r="G8" s="172" t="s">
        <v>40</v>
      </c>
      <c r="H8" s="172" t="s">
        <v>41</v>
      </c>
      <c r="I8" s="172"/>
      <c r="J8" s="172"/>
      <c r="K8" s="172"/>
      <c r="L8" s="172"/>
      <c r="M8" s="172"/>
      <c r="N8" s="172"/>
      <c r="O8" s="172"/>
      <c r="P8" s="174"/>
      <c r="Q8" s="172"/>
      <c r="R8" s="174"/>
      <c r="S8" s="174"/>
      <c r="T8" s="174"/>
      <c r="U8" s="174"/>
      <c r="V8" s="172"/>
      <c r="W8" s="174"/>
      <c r="X8" s="173" t="s">
        <v>140</v>
      </c>
      <c r="Y8" s="181" t="s">
        <v>142</v>
      </c>
      <c r="Z8" s="181"/>
    </row>
    <row r="9" spans="1:26" s="102" customFormat="1" ht="93.75" customHeight="1">
      <c r="A9" s="172"/>
      <c r="B9" s="172"/>
      <c r="C9" s="172"/>
      <c r="D9" s="172"/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5"/>
      <c r="Q9" s="172"/>
      <c r="R9" s="175"/>
      <c r="S9" s="175"/>
      <c r="T9" s="175"/>
      <c r="U9" s="175"/>
      <c r="V9" s="172"/>
      <c r="W9" s="175"/>
      <c r="X9" s="175"/>
      <c r="Y9" s="101" t="s">
        <v>141</v>
      </c>
      <c r="Z9" s="101" t="s">
        <v>50</v>
      </c>
    </row>
    <row r="10" spans="1:26" s="23" customFormat="1" ht="25.5" customHeight="1">
      <c r="A10" s="22">
        <v>1</v>
      </c>
      <c r="B10" s="22">
        <v>2</v>
      </c>
      <c r="C10" s="22">
        <v>3</v>
      </c>
      <c r="D10" s="22">
        <v>4</v>
      </c>
      <c r="E10" s="22">
        <v>5</v>
      </c>
      <c r="F10" s="22">
        <v>6</v>
      </c>
      <c r="G10" s="22"/>
      <c r="H10" s="22">
        <v>7</v>
      </c>
      <c r="I10" s="22"/>
      <c r="J10" s="22">
        <v>8</v>
      </c>
      <c r="K10" s="22">
        <v>9</v>
      </c>
      <c r="L10" s="22">
        <v>10</v>
      </c>
      <c r="M10" s="22">
        <v>11</v>
      </c>
      <c r="N10" s="22">
        <v>12</v>
      </c>
      <c r="O10" s="22">
        <v>13</v>
      </c>
      <c r="P10" s="22">
        <v>14</v>
      </c>
      <c r="Q10" s="22">
        <v>15</v>
      </c>
      <c r="R10" s="22">
        <v>16</v>
      </c>
      <c r="S10" s="22">
        <v>17</v>
      </c>
      <c r="T10" s="22"/>
      <c r="U10" s="22">
        <v>18</v>
      </c>
      <c r="V10" s="22">
        <v>19</v>
      </c>
      <c r="W10" s="22">
        <v>20</v>
      </c>
      <c r="X10" s="22">
        <v>19</v>
      </c>
      <c r="Y10" s="22">
        <v>20</v>
      </c>
      <c r="Z10" s="22">
        <v>21</v>
      </c>
    </row>
    <row r="11" spans="1:26" s="27" customFormat="1" ht="35.25" customHeight="1">
      <c r="A11" s="100"/>
      <c r="B11" s="100" t="s">
        <v>42</v>
      </c>
      <c r="C11" s="100"/>
      <c r="D11" s="100"/>
      <c r="E11" s="26">
        <f>+E12+E13+E14+E15+E18</f>
        <v>2837024.8824</v>
      </c>
      <c r="F11" s="26">
        <f>+F12+F13+F14+F15+F18</f>
        <v>639450.8824</v>
      </c>
      <c r="G11" s="26">
        <f>+G12+G13+G14+G15+G18</f>
        <v>0</v>
      </c>
      <c r="H11" s="26">
        <f>+H12+H13+H14+H15+H18</f>
        <v>2197574</v>
      </c>
      <c r="I11" s="26">
        <f>+I12+I13+I14+I15</f>
        <v>42677</v>
      </c>
      <c r="J11" s="26"/>
      <c r="K11" s="26"/>
      <c r="L11" s="26"/>
      <c r="M11" s="26">
        <f>+M12+M13+M14+M15+M18</f>
        <v>1413129.89372</v>
      </c>
      <c r="N11" s="26">
        <f>+N12+N13+N14+N15+N18</f>
        <v>784444.1100399999</v>
      </c>
      <c r="O11" s="26"/>
      <c r="P11" s="26">
        <f aca="true" t="shared" si="0" ref="P11:Z11">+P12+P13+P14+P15+P18</f>
        <v>784444.1100399999</v>
      </c>
      <c r="Q11" s="26">
        <f t="shared" si="0"/>
        <v>16799</v>
      </c>
      <c r="R11" s="26">
        <f t="shared" si="0"/>
        <v>212500</v>
      </c>
      <c r="S11" s="26">
        <f t="shared" si="0"/>
        <v>82727</v>
      </c>
      <c r="T11" s="26">
        <f t="shared" si="0"/>
        <v>1494.22</v>
      </c>
      <c r="U11" s="26">
        <f t="shared" si="0"/>
        <v>684033</v>
      </c>
      <c r="V11" s="26">
        <f t="shared" si="0"/>
        <v>204799.66666666666</v>
      </c>
      <c r="W11" s="26">
        <f t="shared" si="0"/>
        <v>15400</v>
      </c>
      <c r="X11" s="26">
        <f t="shared" si="0"/>
        <v>16700</v>
      </c>
      <c r="Y11" s="26">
        <f t="shared" si="0"/>
        <v>1300</v>
      </c>
      <c r="Z11" s="26">
        <f t="shared" si="0"/>
        <v>15400</v>
      </c>
    </row>
    <row r="12" spans="1:26" s="30" customFormat="1" ht="156" customHeight="1">
      <c r="A12" s="110">
        <v>1</v>
      </c>
      <c r="B12" s="111" t="s">
        <v>94</v>
      </c>
      <c r="C12" s="110" t="s">
        <v>85</v>
      </c>
      <c r="D12" s="110" t="s">
        <v>148</v>
      </c>
      <c r="E12" s="112">
        <v>323714</v>
      </c>
      <c r="F12" s="112">
        <v>65572</v>
      </c>
      <c r="G12" s="112"/>
      <c r="H12" s="112">
        <v>258142</v>
      </c>
      <c r="I12" s="113" t="s">
        <v>43</v>
      </c>
      <c r="J12" s="114" t="s">
        <v>51</v>
      </c>
      <c r="K12" s="115">
        <v>11.55</v>
      </c>
      <c r="L12" s="110" t="s">
        <v>45</v>
      </c>
      <c r="M12" s="116">
        <f>232328</f>
        <v>232328</v>
      </c>
      <c r="N12" s="116">
        <v>25814</v>
      </c>
      <c r="O12" s="117">
        <v>0.02</v>
      </c>
      <c r="P12" s="118">
        <f>+N12</f>
        <v>25814</v>
      </c>
      <c r="Q12" s="119">
        <v>16799</v>
      </c>
      <c r="R12" s="119">
        <v>9004</v>
      </c>
      <c r="S12" s="119">
        <v>8130</v>
      </c>
      <c r="T12" s="119">
        <f>+(Q12+S12)*O12</f>
        <v>498.58</v>
      </c>
      <c r="U12" s="119">
        <v>0</v>
      </c>
      <c r="V12" s="116">
        <v>0</v>
      </c>
      <c r="W12" s="116">
        <f>+Z12</f>
        <v>520</v>
      </c>
      <c r="X12" s="31">
        <f>Y12+Z12</f>
        <v>1820</v>
      </c>
      <c r="Y12" s="106">
        <v>1300</v>
      </c>
      <c r="Z12" s="31">
        <v>520</v>
      </c>
    </row>
    <row r="13" spans="1:26" s="30" customFormat="1" ht="105" customHeight="1">
      <c r="A13" s="120">
        <v>2</v>
      </c>
      <c r="B13" s="121" t="s">
        <v>105</v>
      </c>
      <c r="C13" s="120" t="s">
        <v>86</v>
      </c>
      <c r="D13" s="122" t="s">
        <v>101</v>
      </c>
      <c r="E13" s="123">
        <f>SUM(F13:H13)</f>
        <v>134468</v>
      </c>
      <c r="F13" s="124">
        <v>21222</v>
      </c>
      <c r="G13" s="123"/>
      <c r="H13" s="123">
        <v>113246</v>
      </c>
      <c r="I13" s="125"/>
      <c r="J13" s="126" t="s">
        <v>44</v>
      </c>
      <c r="K13" s="127">
        <v>5.16</v>
      </c>
      <c r="L13" s="126" t="s">
        <v>45</v>
      </c>
      <c r="M13" s="128">
        <f>113246-N13</f>
        <v>79272.20000000001</v>
      </c>
      <c r="N13" s="128">
        <f>H13*30%</f>
        <v>33973.799999999996</v>
      </c>
      <c r="O13" s="129">
        <v>0.02</v>
      </c>
      <c r="P13" s="130">
        <f aca="true" t="shared" si="1" ref="P13:P18">+N13</f>
        <v>33973.799999999996</v>
      </c>
      <c r="Q13" s="131"/>
      <c r="R13" s="131">
        <v>22104</v>
      </c>
      <c r="S13" s="131">
        <v>10554</v>
      </c>
      <c r="T13" s="131">
        <f aca="true" t="shared" si="2" ref="T13:T18">+(Q13+S13)*O13</f>
        <v>211.08</v>
      </c>
      <c r="U13" s="131">
        <v>23420</v>
      </c>
      <c r="V13" s="131">
        <v>19224</v>
      </c>
      <c r="W13" s="128">
        <f aca="true" t="shared" si="3" ref="W13:W18">+Z13</f>
        <v>732</v>
      </c>
      <c r="X13" s="31">
        <f aca="true" t="shared" si="4" ref="X13:X18">Y13+Z13</f>
        <v>732</v>
      </c>
      <c r="Y13" s="103">
        <v>0</v>
      </c>
      <c r="Z13" s="31">
        <v>732</v>
      </c>
    </row>
    <row r="14" spans="1:26" s="28" customFormat="1" ht="105" customHeight="1">
      <c r="A14" s="120">
        <v>3</v>
      </c>
      <c r="B14" s="121" t="s">
        <v>103</v>
      </c>
      <c r="C14" s="120" t="s">
        <v>79</v>
      </c>
      <c r="D14" s="122" t="s">
        <v>102</v>
      </c>
      <c r="E14" s="123">
        <f>SUM(F14:H14)</f>
        <v>651515</v>
      </c>
      <c r="F14" s="124">
        <v>137334</v>
      </c>
      <c r="G14" s="123"/>
      <c r="H14" s="123">
        <v>514181</v>
      </c>
      <c r="I14" s="125"/>
      <c r="J14" s="126" t="s">
        <v>44</v>
      </c>
      <c r="K14" s="127">
        <v>29.242145</v>
      </c>
      <c r="L14" s="126" t="s">
        <v>45</v>
      </c>
      <c r="M14" s="128">
        <f>16.154699*22280</f>
        <v>359926.69372000004</v>
      </c>
      <c r="N14" s="124">
        <f>6.923443*22280</f>
        <v>154254.31003999998</v>
      </c>
      <c r="O14" s="129">
        <v>0.02</v>
      </c>
      <c r="P14" s="130">
        <f t="shared" si="1"/>
        <v>154254.31003999998</v>
      </c>
      <c r="Q14" s="128"/>
      <c r="R14" s="128">
        <v>64813</v>
      </c>
      <c r="S14" s="128">
        <v>39228</v>
      </c>
      <c r="T14" s="128">
        <f t="shared" si="2"/>
        <v>784.5600000000001</v>
      </c>
      <c r="U14" s="131">
        <v>115026</v>
      </c>
      <c r="V14" s="128">
        <v>50658</v>
      </c>
      <c r="W14" s="128">
        <f t="shared" si="3"/>
        <v>2669</v>
      </c>
      <c r="X14" s="31">
        <f t="shared" si="4"/>
        <v>2669</v>
      </c>
      <c r="Y14" s="103">
        <v>0</v>
      </c>
      <c r="Z14" s="31">
        <v>2669</v>
      </c>
    </row>
    <row r="15" spans="1:26" s="28" customFormat="1" ht="57.75" customHeight="1">
      <c r="A15" s="120">
        <v>4</v>
      </c>
      <c r="B15" s="121" t="s">
        <v>104</v>
      </c>
      <c r="C15" s="120" t="s">
        <v>107</v>
      </c>
      <c r="D15" s="122" t="s">
        <v>90</v>
      </c>
      <c r="E15" s="123">
        <f>SUM(F15:H15)</f>
        <v>1287322.3824</v>
      </c>
      <c r="F15" s="124">
        <f>16461.508*22.8</f>
        <v>375322.38240000006</v>
      </c>
      <c r="G15" s="123"/>
      <c r="H15" s="123">
        <f>40*22800</f>
        <v>912000</v>
      </c>
      <c r="I15" s="125"/>
      <c r="J15" s="126" t="s">
        <v>44</v>
      </c>
      <c r="K15" s="127">
        <v>40</v>
      </c>
      <c r="L15" s="126" t="s">
        <v>45</v>
      </c>
      <c r="M15" s="128">
        <f>H15*0.55</f>
        <v>501600.00000000006</v>
      </c>
      <c r="N15" s="124">
        <f>H15*0.45</f>
        <v>410400</v>
      </c>
      <c r="O15" s="129"/>
      <c r="P15" s="130">
        <f t="shared" si="1"/>
        <v>410400</v>
      </c>
      <c r="Q15" s="128"/>
      <c r="R15" s="128">
        <v>116579</v>
      </c>
      <c r="S15" s="128">
        <v>24815</v>
      </c>
      <c r="T15" s="128">
        <f t="shared" si="2"/>
        <v>0</v>
      </c>
      <c r="U15" s="128">
        <v>385585</v>
      </c>
      <c r="V15" s="128">
        <v>81583.66666666666</v>
      </c>
      <c r="W15" s="128">
        <f t="shared" si="3"/>
        <v>9919</v>
      </c>
      <c r="X15" s="31">
        <f t="shared" si="4"/>
        <v>9919</v>
      </c>
      <c r="Y15" s="103">
        <v>0</v>
      </c>
      <c r="Z15" s="31">
        <v>9919</v>
      </c>
    </row>
    <row r="16" spans="1:26" s="99" customFormat="1" ht="41.25" customHeight="1">
      <c r="A16" s="132"/>
      <c r="B16" s="133" t="s">
        <v>82</v>
      </c>
      <c r="C16" s="132"/>
      <c r="D16" s="134"/>
      <c r="E16" s="135"/>
      <c r="F16" s="136"/>
      <c r="G16" s="135"/>
      <c r="H16" s="135">
        <f>20*22800</f>
        <v>456000</v>
      </c>
      <c r="I16" s="137"/>
      <c r="J16" s="138" t="s">
        <v>44</v>
      </c>
      <c r="K16" s="139">
        <v>20</v>
      </c>
      <c r="L16" s="138" t="s">
        <v>45</v>
      </c>
      <c r="M16" s="140">
        <f>+H16*0.8</f>
        <v>364800</v>
      </c>
      <c r="N16" s="136">
        <f>+H16*0.2</f>
        <v>91200</v>
      </c>
      <c r="O16" s="141">
        <v>0.02</v>
      </c>
      <c r="P16" s="130">
        <f t="shared" si="1"/>
        <v>91200</v>
      </c>
      <c r="Q16" s="140"/>
      <c r="R16" s="140">
        <v>29277</v>
      </c>
      <c r="S16" s="140">
        <v>5385</v>
      </c>
      <c r="T16" s="140">
        <f t="shared" si="2"/>
        <v>107.7</v>
      </c>
      <c r="U16" s="142">
        <v>85815</v>
      </c>
      <c r="V16" s="143">
        <v>36048</v>
      </c>
      <c r="W16" s="128">
        <f t="shared" si="3"/>
        <v>6701</v>
      </c>
      <c r="X16" s="98">
        <f t="shared" si="4"/>
        <v>6701</v>
      </c>
      <c r="Y16" s="104">
        <v>0</v>
      </c>
      <c r="Z16" s="98">
        <v>6701</v>
      </c>
    </row>
    <row r="17" spans="1:26" s="99" customFormat="1" ht="41.25" customHeight="1">
      <c r="A17" s="132"/>
      <c r="B17" s="133" t="s">
        <v>83</v>
      </c>
      <c r="C17" s="132"/>
      <c r="D17" s="134"/>
      <c r="E17" s="135"/>
      <c r="F17" s="136"/>
      <c r="G17" s="135"/>
      <c r="H17" s="135">
        <f>20*22800</f>
        <v>456000</v>
      </c>
      <c r="I17" s="137"/>
      <c r="J17" s="138" t="s">
        <v>44</v>
      </c>
      <c r="K17" s="139">
        <v>20</v>
      </c>
      <c r="L17" s="138" t="s">
        <v>45</v>
      </c>
      <c r="M17" s="140">
        <f>+H17*0.3</f>
        <v>136800</v>
      </c>
      <c r="N17" s="136">
        <f>+H17*0.7</f>
        <v>319200</v>
      </c>
      <c r="O17" s="144">
        <v>0.0475</v>
      </c>
      <c r="P17" s="130">
        <f t="shared" si="1"/>
        <v>319200</v>
      </c>
      <c r="Q17" s="140"/>
      <c r="R17" s="140">
        <v>87302</v>
      </c>
      <c r="S17" s="140">
        <v>19430</v>
      </c>
      <c r="T17" s="140">
        <f t="shared" si="2"/>
        <v>922.925</v>
      </c>
      <c r="U17" s="142">
        <v>299770</v>
      </c>
      <c r="V17" s="140">
        <v>45535.666666666664</v>
      </c>
      <c r="W17" s="128">
        <f t="shared" si="3"/>
        <v>3218</v>
      </c>
      <c r="X17" s="98">
        <f t="shared" si="4"/>
        <v>3218</v>
      </c>
      <c r="Y17" s="104">
        <v>0</v>
      </c>
      <c r="Z17" s="98">
        <v>3218</v>
      </c>
    </row>
    <row r="18" spans="1:26" ht="60.75" customHeight="1">
      <c r="A18" s="145">
        <v>5</v>
      </c>
      <c r="B18" s="146" t="s">
        <v>48</v>
      </c>
      <c r="C18" s="145" t="s">
        <v>143</v>
      </c>
      <c r="D18" s="147" t="s">
        <v>147</v>
      </c>
      <c r="E18" s="148">
        <v>440005.5</v>
      </c>
      <c r="F18" s="148">
        <v>40000.5</v>
      </c>
      <c r="G18" s="148"/>
      <c r="H18" s="148">
        <v>400005</v>
      </c>
      <c r="I18" s="145"/>
      <c r="J18" s="149" t="s">
        <v>137</v>
      </c>
      <c r="K18" s="150">
        <v>16.5</v>
      </c>
      <c r="L18" s="149" t="s">
        <v>138</v>
      </c>
      <c r="M18" s="151">
        <v>240003</v>
      </c>
      <c r="N18" s="152">
        <v>160002</v>
      </c>
      <c r="O18" s="153">
        <v>0.02</v>
      </c>
      <c r="P18" s="154">
        <f t="shared" si="1"/>
        <v>160002</v>
      </c>
      <c r="Q18" s="155"/>
      <c r="R18" s="155"/>
      <c r="S18" s="155"/>
      <c r="T18" s="155">
        <f t="shared" si="2"/>
        <v>0</v>
      </c>
      <c r="U18" s="155">
        <v>160002</v>
      </c>
      <c r="V18" s="156">
        <v>53334</v>
      </c>
      <c r="W18" s="151">
        <f t="shared" si="3"/>
        <v>1560</v>
      </c>
      <c r="X18" s="31">
        <f t="shared" si="4"/>
        <v>1560</v>
      </c>
      <c r="Y18" s="105"/>
      <c r="Z18" s="31">
        <v>1560</v>
      </c>
    </row>
    <row r="19" spans="2:11" s="18" customFormat="1" ht="18.75">
      <c r="B19" s="20"/>
      <c r="K19" s="21"/>
    </row>
    <row r="20" spans="2:11" s="18" customFormat="1" ht="18.75">
      <c r="B20" s="20"/>
      <c r="I20" s="17"/>
      <c r="K20" s="21"/>
    </row>
  </sheetData>
  <sheetProtection/>
  <mergeCells count="38">
    <mergeCell ref="X6:Z6"/>
    <mergeCell ref="U6:U9"/>
    <mergeCell ref="P6:P9"/>
    <mergeCell ref="R7:R9"/>
    <mergeCell ref="R6:T6"/>
    <mergeCell ref="T7:T9"/>
    <mergeCell ref="Y8:Z8"/>
    <mergeCell ref="X7:Z7"/>
    <mergeCell ref="X8:X9"/>
    <mergeCell ref="A1:X1"/>
    <mergeCell ref="S7:S9"/>
    <mergeCell ref="V5:W5"/>
    <mergeCell ref="V7:V9"/>
    <mergeCell ref="B2:Z2"/>
    <mergeCell ref="A3:Z3"/>
    <mergeCell ref="K7:K9"/>
    <mergeCell ref="L7:L9"/>
    <mergeCell ref="M7:M9"/>
    <mergeCell ref="A4:W4"/>
    <mergeCell ref="A6:A9"/>
    <mergeCell ref="B6:B9"/>
    <mergeCell ref="C6:C9"/>
    <mergeCell ref="D6:D9"/>
    <mergeCell ref="E6:H6"/>
    <mergeCell ref="I6:I9"/>
    <mergeCell ref="F8:F9"/>
    <mergeCell ref="G8:G9"/>
    <mergeCell ref="H8:H9"/>
    <mergeCell ref="E7:E9"/>
    <mergeCell ref="F7:H7"/>
    <mergeCell ref="O7:O9"/>
    <mergeCell ref="M6:O6"/>
    <mergeCell ref="W7:W9"/>
    <mergeCell ref="V6:W6"/>
    <mergeCell ref="N7:N9"/>
    <mergeCell ref="J6:J9"/>
    <mergeCell ref="K6:L6"/>
    <mergeCell ref="Q6:Q9"/>
  </mergeCells>
  <printOptions horizontalCentered="1"/>
  <pageMargins left="0.24" right="0" top="0.33" bottom="0.2" header="0.2" footer="0.2"/>
  <pageSetup horizontalDpi="600" verticalDpi="600" orientation="landscape" paperSize="9" scale="58" r:id="rId1"/>
  <colBreaks count="1" manualBreakCount="1">
    <brk id="2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70"/>
  <sheetViews>
    <sheetView zoomScale="90" zoomScaleNormal="90" zoomScalePageLayoutView="0" workbookViewId="0" topLeftCell="A1">
      <selection activeCell="H40" sqref="H40"/>
    </sheetView>
  </sheetViews>
  <sheetFormatPr defaultColWidth="9.00390625" defaultRowHeight="15.75"/>
  <cols>
    <col min="1" max="1" width="7.00390625" style="12" customWidth="1"/>
    <col min="2" max="2" width="79.25390625" style="12" customWidth="1"/>
    <col min="3" max="3" width="5.00390625" style="12" hidden="1" customWidth="1"/>
    <col min="4" max="4" width="14.75390625" style="12" hidden="1" customWidth="1"/>
    <col min="5" max="6" width="14.625" style="12" hidden="1" customWidth="1"/>
    <col min="7" max="8" width="16.125" style="12" customWidth="1"/>
    <col min="9" max="11" width="13.75390625" style="12" hidden="1" customWidth="1"/>
    <col min="12" max="12" width="16.125" style="12" customWidth="1"/>
    <col min="13" max="16384" width="9.00390625" style="12" customWidth="1"/>
  </cols>
  <sheetData>
    <row r="1" spans="1:12" ht="18.75">
      <c r="A1" s="182"/>
      <c r="B1" s="182"/>
      <c r="C1" s="11"/>
      <c r="F1" s="183" t="s">
        <v>91</v>
      </c>
      <c r="G1" s="183"/>
      <c r="H1" s="183"/>
      <c r="I1" s="183"/>
      <c r="J1" s="183"/>
      <c r="K1" s="183"/>
      <c r="L1" s="183"/>
    </row>
    <row r="2" spans="1:12" ht="27" customHeight="1">
      <c r="A2" s="184" t="s">
        <v>96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</row>
    <row r="3" spans="1:12" ht="18.75">
      <c r="A3" s="165" t="s">
        <v>106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</row>
    <row r="4" spans="1:12" ht="18.75" hidden="1">
      <c r="A4" s="165" t="s">
        <v>89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</row>
    <row r="5" spans="1:12" ht="18.75">
      <c r="A5" s="9"/>
      <c r="B5" s="9"/>
      <c r="C5" s="4"/>
      <c r="E5" s="166" t="s">
        <v>21</v>
      </c>
      <c r="F5" s="166"/>
      <c r="G5" s="166"/>
      <c r="H5" s="166"/>
      <c r="I5" s="166"/>
      <c r="J5" s="166"/>
      <c r="K5" s="166"/>
      <c r="L5" s="166"/>
    </row>
    <row r="6" spans="1:12" s="7" customFormat="1" ht="22.5" customHeight="1">
      <c r="A6" s="169" t="s">
        <v>22</v>
      </c>
      <c r="B6" s="169" t="s">
        <v>2</v>
      </c>
      <c r="C6" s="162" t="s">
        <v>46</v>
      </c>
      <c r="D6" s="171" t="s">
        <v>36</v>
      </c>
      <c r="E6" s="171"/>
      <c r="F6" s="162" t="s">
        <v>100</v>
      </c>
      <c r="G6" s="162" t="s">
        <v>97</v>
      </c>
      <c r="H6" s="162" t="s">
        <v>98</v>
      </c>
      <c r="I6" s="162" t="s">
        <v>74</v>
      </c>
      <c r="J6" s="162" t="s">
        <v>78</v>
      </c>
      <c r="K6" s="162" t="s">
        <v>84</v>
      </c>
      <c r="L6" s="162" t="s">
        <v>3</v>
      </c>
    </row>
    <row r="7" spans="1:12" s="7" customFormat="1" ht="14.25" customHeight="1">
      <c r="A7" s="170"/>
      <c r="B7" s="170"/>
      <c r="C7" s="163"/>
      <c r="D7" s="6" t="s">
        <v>47</v>
      </c>
      <c r="E7" s="24" t="s">
        <v>71</v>
      </c>
      <c r="F7" s="163"/>
      <c r="G7" s="163"/>
      <c r="H7" s="163"/>
      <c r="I7" s="163"/>
      <c r="J7" s="163"/>
      <c r="K7" s="163"/>
      <c r="L7" s="163"/>
    </row>
    <row r="8" spans="1:12" s="3" customFormat="1" ht="15">
      <c r="A8" s="2" t="s">
        <v>0</v>
      </c>
      <c r="B8" s="1" t="s">
        <v>1</v>
      </c>
      <c r="C8" s="2">
        <v>1</v>
      </c>
      <c r="D8" s="2">
        <v>1</v>
      </c>
      <c r="E8" s="2">
        <v>2</v>
      </c>
      <c r="F8" s="2">
        <v>1</v>
      </c>
      <c r="G8" s="2">
        <v>1</v>
      </c>
      <c r="H8" s="2">
        <v>2</v>
      </c>
      <c r="I8" s="2">
        <v>6</v>
      </c>
      <c r="J8" s="2">
        <v>6</v>
      </c>
      <c r="K8" s="2">
        <v>6</v>
      </c>
      <c r="L8" s="2" t="s">
        <v>72</v>
      </c>
    </row>
    <row r="9" spans="1:12" s="16" customFormat="1" ht="59.25" customHeight="1" hidden="1">
      <c r="A9" s="14"/>
      <c r="B9" s="13" t="s">
        <v>4</v>
      </c>
      <c r="C9" s="14"/>
      <c r="D9" s="15">
        <v>4921700</v>
      </c>
      <c r="E9" s="15"/>
      <c r="F9" s="15">
        <f>D9*1.13</f>
        <v>5561520.999999999</v>
      </c>
      <c r="G9" s="15" t="e">
        <f>#REF!*1.13</f>
        <v>#REF!</v>
      </c>
      <c r="H9" s="15">
        <f>F9*1.13</f>
        <v>6284518.729999999</v>
      </c>
      <c r="I9" s="15">
        <f>H9*1.13</f>
        <v>7101506.164899997</v>
      </c>
      <c r="J9" s="15">
        <f>I9*1.13</f>
        <v>8024701.966336996</v>
      </c>
      <c r="K9" s="15">
        <f>J9*1.13</f>
        <v>9067913.221960805</v>
      </c>
      <c r="L9" s="15" t="e">
        <f>#REF!*1.13</f>
        <v>#REF!</v>
      </c>
    </row>
    <row r="10" spans="1:12" s="8" customFormat="1" ht="23.25" customHeight="1">
      <c r="A10" s="32" t="s">
        <v>0</v>
      </c>
      <c r="B10" s="33" t="s">
        <v>53</v>
      </c>
      <c r="C10" s="32"/>
      <c r="D10" s="34">
        <v>4921700</v>
      </c>
      <c r="E10" s="34">
        <v>5215000</v>
      </c>
      <c r="F10" s="34">
        <v>5284506</v>
      </c>
      <c r="G10" s="35">
        <v>5624600</v>
      </c>
      <c r="H10" s="35">
        <v>5723200</v>
      </c>
      <c r="I10" s="36">
        <f>H10*113%</f>
        <v>6467215.999999999</v>
      </c>
      <c r="J10" s="36">
        <f>I10*113%</f>
        <v>7307954.079999998</v>
      </c>
      <c r="K10" s="36">
        <f>J10*113%</f>
        <v>8257988.110399997</v>
      </c>
      <c r="L10" s="36">
        <f>H10-G10</f>
        <v>98600</v>
      </c>
    </row>
    <row r="11" spans="1:12" s="8" customFormat="1" ht="23.25" customHeight="1">
      <c r="A11" s="37" t="s">
        <v>1</v>
      </c>
      <c r="B11" s="38" t="s">
        <v>54</v>
      </c>
      <c r="C11" s="37"/>
      <c r="D11" s="39">
        <v>10706091</v>
      </c>
      <c r="E11" s="39">
        <v>10817258</v>
      </c>
      <c r="F11" s="39">
        <v>11282950</v>
      </c>
      <c r="G11" s="40">
        <v>12066658</v>
      </c>
      <c r="H11" s="41">
        <v>12373166</v>
      </c>
      <c r="I11" s="42">
        <f>H11*110%</f>
        <v>13610482.600000001</v>
      </c>
      <c r="J11" s="42">
        <f>I11*110%</f>
        <v>14971530.860000003</v>
      </c>
      <c r="K11" s="42">
        <f>J11*110%</f>
        <v>16468683.946000004</v>
      </c>
      <c r="L11" s="42">
        <f aca="true" t="shared" si="0" ref="L11:L61">+H11-G11</f>
        <v>306508</v>
      </c>
    </row>
    <row r="12" spans="1:12" s="8" customFormat="1" ht="23.25" customHeight="1">
      <c r="A12" s="37" t="s">
        <v>5</v>
      </c>
      <c r="B12" s="38" t="s">
        <v>93</v>
      </c>
      <c r="C12" s="39"/>
      <c r="D12" s="39">
        <v>11320</v>
      </c>
      <c r="E12" s="43">
        <v>-11320</v>
      </c>
      <c r="F12" s="43">
        <v>93500</v>
      </c>
      <c r="G12" s="44">
        <v>17400</v>
      </c>
      <c r="H12" s="44">
        <v>122400</v>
      </c>
      <c r="I12" s="44">
        <v>37702</v>
      </c>
      <c r="J12" s="44">
        <v>14917</v>
      </c>
      <c r="K12" s="44">
        <v>14917</v>
      </c>
      <c r="L12" s="42">
        <f t="shared" si="0"/>
        <v>105000</v>
      </c>
    </row>
    <row r="13" spans="1:12" s="8" customFormat="1" ht="23.25" customHeight="1">
      <c r="A13" s="37" t="s">
        <v>20</v>
      </c>
      <c r="B13" s="38" t="s">
        <v>55</v>
      </c>
      <c r="C13" s="39">
        <f>2365800*0.3</f>
        <v>709740</v>
      </c>
      <c r="D13" s="39">
        <f aca="true" t="shared" si="1" ref="D13:J13">+D10*0.2</f>
        <v>984340</v>
      </c>
      <c r="E13" s="39">
        <f t="shared" si="1"/>
        <v>1043000</v>
      </c>
      <c r="F13" s="39">
        <f t="shared" si="1"/>
        <v>1056901.2</v>
      </c>
      <c r="G13" s="42">
        <f t="shared" si="1"/>
        <v>1124920</v>
      </c>
      <c r="H13" s="42">
        <f>+H10*0.2</f>
        <v>1144640</v>
      </c>
      <c r="I13" s="42">
        <f t="shared" si="1"/>
        <v>1293443.2</v>
      </c>
      <c r="J13" s="42">
        <f t="shared" si="1"/>
        <v>1461590.8159999996</v>
      </c>
      <c r="K13" s="42">
        <f>+K10*0.2</f>
        <v>1651597.6220799994</v>
      </c>
      <c r="L13" s="42">
        <f t="shared" si="0"/>
        <v>19720</v>
      </c>
    </row>
    <row r="14" spans="1:12" s="4" customFormat="1" ht="23.25" customHeight="1">
      <c r="A14" s="37" t="s">
        <v>65</v>
      </c>
      <c r="B14" s="38" t="s">
        <v>56</v>
      </c>
      <c r="C14" s="45"/>
      <c r="D14" s="45"/>
      <c r="E14" s="46"/>
      <c r="F14" s="45"/>
      <c r="G14" s="47"/>
      <c r="H14" s="47"/>
      <c r="I14" s="47"/>
      <c r="J14" s="47"/>
      <c r="K14" s="47"/>
      <c r="L14" s="42"/>
    </row>
    <row r="15" spans="1:12" s="4" customFormat="1" ht="23.25" customHeight="1">
      <c r="A15" s="37" t="s">
        <v>6</v>
      </c>
      <c r="B15" s="38" t="s">
        <v>7</v>
      </c>
      <c r="C15" s="39" t="e">
        <f>C19+#REF!+C17+#REF!+#REF!</f>
        <v>#REF!</v>
      </c>
      <c r="D15" s="39">
        <f aca="true" t="shared" si="2" ref="D15:J15">D17+D18+D19</f>
        <v>705970</v>
      </c>
      <c r="E15" s="39">
        <f t="shared" si="2"/>
        <v>705970</v>
      </c>
      <c r="F15" s="39">
        <f t="shared" si="2"/>
        <v>531000</v>
      </c>
      <c r="G15" s="42">
        <f t="shared" si="2"/>
        <v>385519</v>
      </c>
      <c r="H15" s="42">
        <f t="shared" si="2"/>
        <v>242251</v>
      </c>
      <c r="I15" s="42">
        <f t="shared" si="2"/>
        <v>364651</v>
      </c>
      <c r="J15" s="42" t="e">
        <f t="shared" si="2"/>
        <v>#REF!</v>
      </c>
      <c r="K15" s="42" t="e">
        <f>K17+K18+K19</f>
        <v>#REF!</v>
      </c>
      <c r="L15" s="42">
        <f t="shared" si="0"/>
        <v>-143268</v>
      </c>
    </row>
    <row r="16" spans="1:12" s="5" customFormat="1" ht="47.25" customHeight="1">
      <c r="A16" s="69"/>
      <c r="B16" s="48" t="s">
        <v>88</v>
      </c>
      <c r="C16" s="49" t="e">
        <f aca="true" t="shared" si="3" ref="C16:I16">C15/C13</f>
        <v>#REF!</v>
      </c>
      <c r="D16" s="50">
        <f t="shared" si="3"/>
        <v>0.7172013735091534</v>
      </c>
      <c r="E16" s="50">
        <f t="shared" si="3"/>
        <v>0.6768648130393097</v>
      </c>
      <c r="F16" s="50">
        <f t="shared" si="3"/>
        <v>0.5024121459981311</v>
      </c>
      <c r="G16" s="51">
        <f>G15/G13</f>
        <v>0.34270792589695265</v>
      </c>
      <c r="H16" s="51">
        <f t="shared" si="3"/>
        <v>0.21163946743080794</v>
      </c>
      <c r="I16" s="51">
        <f t="shared" si="3"/>
        <v>0.2819227005870842</v>
      </c>
      <c r="J16" s="51" t="e">
        <f>J15/J13</f>
        <v>#REF!</v>
      </c>
      <c r="K16" s="51" t="e">
        <f>K15/K13</f>
        <v>#REF!</v>
      </c>
      <c r="L16" s="51">
        <f t="shared" si="0"/>
        <v>-0.1310684584661447</v>
      </c>
    </row>
    <row r="17" spans="1:12" s="4" customFormat="1" ht="23.25" customHeight="1">
      <c r="A17" s="52">
        <v>1</v>
      </c>
      <c r="B17" s="53" t="s">
        <v>9</v>
      </c>
      <c r="C17" s="45">
        <v>0</v>
      </c>
      <c r="D17" s="45"/>
      <c r="E17" s="46"/>
      <c r="F17" s="45"/>
      <c r="G17" s="47"/>
      <c r="H17" s="47"/>
      <c r="I17" s="54"/>
      <c r="J17" s="54"/>
      <c r="K17" s="54"/>
      <c r="L17" s="47"/>
    </row>
    <row r="18" spans="1:12" s="4" customFormat="1" ht="23.25" customHeight="1">
      <c r="A18" s="52">
        <v>2</v>
      </c>
      <c r="B18" s="53" t="s">
        <v>10</v>
      </c>
      <c r="C18" s="49"/>
      <c r="D18" s="50"/>
      <c r="E18" s="50"/>
      <c r="F18" s="45"/>
      <c r="G18" s="47">
        <f>F55</f>
        <v>5969</v>
      </c>
      <c r="H18" s="47">
        <f>G55</f>
        <v>23580</v>
      </c>
      <c r="I18" s="47">
        <f>+H55</f>
        <v>236080</v>
      </c>
      <c r="J18" s="47" t="e">
        <f>+I55</f>
        <v>#REF!</v>
      </c>
      <c r="K18" s="47" t="e">
        <f>+J55</f>
        <v>#REF!</v>
      </c>
      <c r="L18" s="47">
        <f t="shared" si="0"/>
        <v>17611</v>
      </c>
    </row>
    <row r="19" spans="1:12" s="4" customFormat="1" ht="23.25" customHeight="1">
      <c r="A19" s="52">
        <v>3</v>
      </c>
      <c r="B19" s="55" t="s">
        <v>57</v>
      </c>
      <c r="C19" s="45">
        <f aca="true" t="shared" si="4" ref="C19:I19">SUM(C20:C21)</f>
        <v>827353</v>
      </c>
      <c r="D19" s="45">
        <f t="shared" si="4"/>
        <v>705970</v>
      </c>
      <c r="E19" s="45">
        <f t="shared" si="4"/>
        <v>705970</v>
      </c>
      <c r="F19" s="45">
        <f t="shared" si="4"/>
        <v>531000</v>
      </c>
      <c r="G19" s="47">
        <f>SUM(G20:G21)</f>
        <v>379550</v>
      </c>
      <c r="H19" s="47">
        <f t="shared" si="4"/>
        <v>218671</v>
      </c>
      <c r="I19" s="47">
        <f t="shared" si="4"/>
        <v>128571</v>
      </c>
      <c r="J19" s="47">
        <f>SUM(J20:J21)</f>
        <v>38512</v>
      </c>
      <c r="K19" s="47">
        <f>SUM(K20:K21)</f>
        <v>-51547</v>
      </c>
      <c r="L19" s="47">
        <f t="shared" si="0"/>
        <v>-160879</v>
      </c>
    </row>
    <row r="20" spans="1:12" s="74" customFormat="1" ht="33.75" customHeight="1">
      <c r="A20" s="70" t="s">
        <v>15</v>
      </c>
      <c r="B20" s="71" t="s">
        <v>87</v>
      </c>
      <c r="C20" s="72">
        <v>389258</v>
      </c>
      <c r="D20" s="72">
        <v>314323</v>
      </c>
      <c r="E20" s="72">
        <v>314323</v>
      </c>
      <c r="F20" s="72">
        <f aca="true" t="shared" si="5" ref="F20:K21">E57</f>
        <v>189973</v>
      </c>
      <c r="G20" s="73">
        <f>F57</f>
        <v>98523</v>
      </c>
      <c r="H20" s="73">
        <f>G57</f>
        <v>25742</v>
      </c>
      <c r="I20" s="73">
        <f t="shared" si="5"/>
        <v>0</v>
      </c>
      <c r="J20" s="73">
        <f t="shared" si="5"/>
        <v>-37702</v>
      </c>
      <c r="K20" s="73">
        <f t="shared" si="5"/>
        <v>-37702</v>
      </c>
      <c r="L20" s="73">
        <f t="shared" si="0"/>
        <v>-72781</v>
      </c>
    </row>
    <row r="21" spans="1:12" s="74" customFormat="1" ht="23.25" customHeight="1">
      <c r="A21" s="70" t="s">
        <v>15</v>
      </c>
      <c r="B21" s="71" t="s">
        <v>8</v>
      </c>
      <c r="C21" s="72">
        <f>438095</f>
        <v>438095</v>
      </c>
      <c r="D21" s="72">
        <v>391647</v>
      </c>
      <c r="E21" s="72">
        <v>391647</v>
      </c>
      <c r="F21" s="72">
        <f t="shared" si="5"/>
        <v>341027</v>
      </c>
      <c r="G21" s="73">
        <f>F58</f>
        <v>281027</v>
      </c>
      <c r="H21" s="73">
        <f>G58</f>
        <v>192929</v>
      </c>
      <c r="I21" s="73">
        <f t="shared" si="5"/>
        <v>128571</v>
      </c>
      <c r="J21" s="73">
        <f t="shared" si="5"/>
        <v>76214</v>
      </c>
      <c r="K21" s="73">
        <f t="shared" si="5"/>
        <v>-13845</v>
      </c>
      <c r="L21" s="73">
        <f t="shared" si="0"/>
        <v>-88098</v>
      </c>
    </row>
    <row r="22" spans="1:12" s="8" customFormat="1" ht="23.25" customHeight="1">
      <c r="A22" s="37" t="s">
        <v>11</v>
      </c>
      <c r="B22" s="38" t="s">
        <v>13</v>
      </c>
      <c r="C22" s="39" t="e">
        <f aca="true" t="shared" si="6" ref="C22:I22">C27</f>
        <v>#REF!</v>
      </c>
      <c r="D22" s="39">
        <f t="shared" si="6"/>
        <v>264970</v>
      </c>
      <c r="E22" s="43">
        <f>E27</f>
        <v>174970</v>
      </c>
      <c r="F22" s="39">
        <f t="shared" si="6"/>
        <v>151450</v>
      </c>
      <c r="G22" s="42">
        <f>G27</f>
        <v>160879</v>
      </c>
      <c r="H22" s="42">
        <f>H27</f>
        <v>90100</v>
      </c>
      <c r="I22" s="42">
        <f t="shared" si="6"/>
        <v>90059</v>
      </c>
      <c r="J22" s="42">
        <f>J27</f>
        <v>90059</v>
      </c>
      <c r="K22" s="42">
        <f>K27</f>
        <v>0</v>
      </c>
      <c r="L22" s="42">
        <f t="shared" si="0"/>
        <v>-70779</v>
      </c>
    </row>
    <row r="23" spans="1:12" s="4" customFormat="1" ht="23.25" customHeight="1">
      <c r="A23" s="37">
        <v>1</v>
      </c>
      <c r="B23" s="38" t="s">
        <v>14</v>
      </c>
      <c r="C23" s="45"/>
      <c r="D23" s="45"/>
      <c r="E23" s="46"/>
      <c r="F23" s="45"/>
      <c r="G23" s="47"/>
      <c r="H23" s="47"/>
      <c r="I23" s="47"/>
      <c r="J23" s="47"/>
      <c r="K23" s="47"/>
      <c r="L23" s="42"/>
    </row>
    <row r="24" spans="1:12" s="4" customFormat="1" ht="23.25" customHeight="1">
      <c r="A24" s="37" t="s">
        <v>15</v>
      </c>
      <c r="B24" s="53" t="s">
        <v>17</v>
      </c>
      <c r="C24" s="45"/>
      <c r="D24" s="45"/>
      <c r="E24" s="46"/>
      <c r="F24" s="45"/>
      <c r="G24" s="47"/>
      <c r="H24" s="47"/>
      <c r="I24" s="47"/>
      <c r="J24" s="47"/>
      <c r="K24" s="47"/>
      <c r="L24" s="42"/>
    </row>
    <row r="25" spans="1:12" s="4" customFormat="1" ht="23.25" customHeight="1">
      <c r="A25" s="58" t="s">
        <v>15</v>
      </c>
      <c r="B25" s="53" t="s">
        <v>10</v>
      </c>
      <c r="C25" s="45"/>
      <c r="D25" s="45"/>
      <c r="E25" s="46"/>
      <c r="F25" s="45"/>
      <c r="G25" s="47"/>
      <c r="H25" s="47"/>
      <c r="I25" s="47"/>
      <c r="J25" s="47"/>
      <c r="K25" s="47"/>
      <c r="L25" s="42"/>
    </row>
    <row r="26" spans="1:12" s="4" customFormat="1" ht="23.25" customHeight="1">
      <c r="A26" s="58" t="s">
        <v>15</v>
      </c>
      <c r="B26" s="53" t="s">
        <v>109</v>
      </c>
      <c r="C26" s="45"/>
      <c r="D26" s="45"/>
      <c r="E26" s="46"/>
      <c r="F26" s="45"/>
      <c r="G26" s="47">
        <f aca="true" t="shared" si="7" ref="G26:L26">G27</f>
        <v>160879</v>
      </c>
      <c r="H26" s="47">
        <f t="shared" si="7"/>
        <v>90100</v>
      </c>
      <c r="I26" s="47">
        <f t="shared" si="7"/>
        <v>90059</v>
      </c>
      <c r="J26" s="47">
        <f t="shared" si="7"/>
        <v>90059</v>
      </c>
      <c r="K26" s="47">
        <f t="shared" si="7"/>
        <v>0</v>
      </c>
      <c r="L26" s="47">
        <f t="shared" si="7"/>
        <v>-70779</v>
      </c>
    </row>
    <row r="27" spans="1:14" s="79" customFormat="1" ht="23.25" customHeight="1">
      <c r="A27" s="75" t="s">
        <v>15</v>
      </c>
      <c r="B27" s="76" t="s">
        <v>70</v>
      </c>
      <c r="C27" s="77" t="e">
        <f>C28+C29+#REF!</f>
        <v>#REF!</v>
      </c>
      <c r="D27" s="77">
        <f aca="true" t="shared" si="8" ref="D27:J27">D28+D29</f>
        <v>264970</v>
      </c>
      <c r="E27" s="77">
        <f t="shared" si="8"/>
        <v>174970</v>
      </c>
      <c r="F27" s="77">
        <f t="shared" si="8"/>
        <v>151450</v>
      </c>
      <c r="G27" s="78">
        <f t="shared" si="8"/>
        <v>160879</v>
      </c>
      <c r="H27" s="78">
        <f t="shared" si="8"/>
        <v>90100</v>
      </c>
      <c r="I27" s="78">
        <f t="shared" si="8"/>
        <v>90059</v>
      </c>
      <c r="J27" s="78">
        <f t="shared" si="8"/>
        <v>90059</v>
      </c>
      <c r="K27" s="78">
        <f>K28+K29</f>
        <v>0</v>
      </c>
      <c r="L27" s="78">
        <f t="shared" si="0"/>
        <v>-70779</v>
      </c>
      <c r="N27" s="80"/>
    </row>
    <row r="28" spans="1:12" s="74" customFormat="1" ht="18.75">
      <c r="A28" s="70" t="s">
        <v>16</v>
      </c>
      <c r="B28" s="81" t="s">
        <v>126</v>
      </c>
      <c r="C28" s="73">
        <v>97935</v>
      </c>
      <c r="D28" s="73">
        <v>124350</v>
      </c>
      <c r="E28" s="73">
        <v>124350</v>
      </c>
      <c r="F28" s="72">
        <v>91450</v>
      </c>
      <c r="G28" s="73">
        <f>60821+11960</f>
        <v>72781</v>
      </c>
      <c r="H28" s="73">
        <f>+G57</f>
        <v>25742</v>
      </c>
      <c r="I28" s="73">
        <v>37702</v>
      </c>
      <c r="J28" s="73">
        <v>0</v>
      </c>
      <c r="K28" s="73">
        <v>0</v>
      </c>
      <c r="L28" s="73">
        <f t="shared" si="0"/>
        <v>-47039</v>
      </c>
    </row>
    <row r="29" spans="1:12" s="74" customFormat="1" ht="23.25" customHeight="1">
      <c r="A29" s="70" t="s">
        <v>16</v>
      </c>
      <c r="B29" s="71" t="s">
        <v>8</v>
      </c>
      <c r="C29" s="73">
        <v>46448</v>
      </c>
      <c r="D29" s="73">
        <v>140620</v>
      </c>
      <c r="E29" s="73">
        <v>50620</v>
      </c>
      <c r="F29" s="72">
        <v>60000</v>
      </c>
      <c r="G29" s="73">
        <f>58098+30000</f>
        <v>88098</v>
      </c>
      <c r="H29" s="73">
        <f>90100-H28</f>
        <v>64358</v>
      </c>
      <c r="I29" s="73">
        <f>52357</f>
        <v>52357</v>
      </c>
      <c r="J29" s="73">
        <v>90059</v>
      </c>
      <c r="K29" s="73">
        <v>0</v>
      </c>
      <c r="L29" s="73">
        <f t="shared" si="0"/>
        <v>-23740</v>
      </c>
    </row>
    <row r="30" spans="1:12" s="8" customFormat="1" ht="23.25" customHeight="1">
      <c r="A30" s="37">
        <v>2</v>
      </c>
      <c r="B30" s="38" t="s">
        <v>119</v>
      </c>
      <c r="C30" s="39"/>
      <c r="D30" s="39">
        <f aca="true" t="shared" si="9" ref="D30:K30">D31+D32+D33+D36+D39</f>
        <v>264970</v>
      </c>
      <c r="E30" s="39">
        <f t="shared" si="9"/>
        <v>174970</v>
      </c>
      <c r="F30" s="39">
        <f t="shared" si="9"/>
        <v>162700</v>
      </c>
      <c r="G30" s="42">
        <f t="shared" si="9"/>
        <v>160879</v>
      </c>
      <c r="H30" s="42">
        <f t="shared" si="9"/>
        <v>90100</v>
      </c>
      <c r="I30" s="42">
        <f t="shared" si="9"/>
        <v>90059</v>
      </c>
      <c r="J30" s="42">
        <f t="shared" si="9"/>
        <v>90059</v>
      </c>
      <c r="K30" s="42">
        <f t="shared" si="9"/>
        <v>0</v>
      </c>
      <c r="L30" s="42">
        <f t="shared" si="0"/>
        <v>-70779</v>
      </c>
    </row>
    <row r="31" spans="1:12" s="8" customFormat="1" ht="23.25" customHeight="1">
      <c r="A31" s="58" t="s">
        <v>15</v>
      </c>
      <c r="B31" s="53" t="s">
        <v>58</v>
      </c>
      <c r="C31" s="39"/>
      <c r="D31" s="39"/>
      <c r="E31" s="39"/>
      <c r="F31" s="39"/>
      <c r="G31" s="42"/>
      <c r="H31" s="47"/>
      <c r="I31" s="47"/>
      <c r="J31" s="47"/>
      <c r="K31" s="47"/>
      <c r="L31" s="47"/>
    </row>
    <row r="32" spans="1:12" s="8" customFormat="1" ht="23.25" customHeight="1">
      <c r="A32" s="58" t="s">
        <v>15</v>
      </c>
      <c r="B32" s="53" t="s">
        <v>59</v>
      </c>
      <c r="C32" s="39"/>
      <c r="D32" s="39"/>
      <c r="E32" s="45">
        <v>11320</v>
      </c>
      <c r="F32" s="45">
        <v>93500</v>
      </c>
      <c r="G32" s="47">
        <v>17400</v>
      </c>
      <c r="H32" s="47">
        <v>0</v>
      </c>
      <c r="I32" s="47">
        <v>37702</v>
      </c>
      <c r="J32" s="47">
        <v>14917</v>
      </c>
      <c r="K32" s="47"/>
      <c r="L32" s="47">
        <f t="shared" si="0"/>
        <v>-17400</v>
      </c>
    </row>
    <row r="33" spans="1:12" s="8" customFormat="1" ht="23.25" customHeight="1">
      <c r="A33" s="58" t="s">
        <v>15</v>
      </c>
      <c r="B33" s="53" t="s">
        <v>66</v>
      </c>
      <c r="C33" s="39"/>
      <c r="D33" s="39"/>
      <c r="E33" s="39"/>
      <c r="F33" s="39"/>
      <c r="G33" s="47">
        <v>41960</v>
      </c>
      <c r="H33" s="47">
        <v>0</v>
      </c>
      <c r="I33" s="42"/>
      <c r="J33" s="42"/>
      <c r="K33" s="42"/>
      <c r="L33" s="47">
        <f t="shared" si="0"/>
        <v>-41960</v>
      </c>
    </row>
    <row r="34" spans="1:12" s="8" customFormat="1" ht="23.25" customHeight="1">
      <c r="A34" s="58" t="s">
        <v>15</v>
      </c>
      <c r="B34" s="53" t="s">
        <v>110</v>
      </c>
      <c r="C34" s="39"/>
      <c r="D34" s="39"/>
      <c r="E34" s="39"/>
      <c r="F34" s="39"/>
      <c r="G34" s="47"/>
      <c r="H34" s="47"/>
      <c r="I34" s="42"/>
      <c r="J34" s="42"/>
      <c r="K34" s="42"/>
      <c r="L34" s="47"/>
    </row>
    <row r="35" spans="1:12" s="8" customFormat="1" ht="23.25" customHeight="1">
      <c r="A35" s="58" t="s">
        <v>15</v>
      </c>
      <c r="B35" s="53" t="s">
        <v>120</v>
      </c>
      <c r="C35" s="39"/>
      <c r="D35" s="39"/>
      <c r="E35" s="39"/>
      <c r="F35" s="39"/>
      <c r="G35" s="47"/>
      <c r="H35" s="47"/>
      <c r="I35" s="42"/>
      <c r="J35" s="42"/>
      <c r="K35" s="42"/>
      <c r="L35" s="47"/>
    </row>
    <row r="36" spans="1:12" s="8" customFormat="1" ht="23.25" customHeight="1">
      <c r="A36" s="58" t="s">
        <v>15</v>
      </c>
      <c r="B36" s="53" t="s">
        <v>69</v>
      </c>
      <c r="C36" s="39"/>
      <c r="D36" s="45">
        <f>D37+D38</f>
        <v>124350</v>
      </c>
      <c r="E36" s="45">
        <f>E37+E38</f>
        <v>124350</v>
      </c>
      <c r="F36" s="45"/>
      <c r="G36" s="47">
        <f aca="true" t="shared" si="10" ref="G36:L36">+G37+G38</f>
        <v>43421</v>
      </c>
      <c r="H36" s="47">
        <f t="shared" si="10"/>
        <v>25742</v>
      </c>
      <c r="I36" s="47">
        <f t="shared" si="10"/>
        <v>0</v>
      </c>
      <c r="J36" s="47">
        <f t="shared" si="10"/>
        <v>0</v>
      </c>
      <c r="K36" s="47">
        <f t="shared" si="10"/>
        <v>0</v>
      </c>
      <c r="L36" s="47">
        <f t="shared" si="10"/>
        <v>-17679</v>
      </c>
    </row>
    <row r="37" spans="1:12" s="5" customFormat="1" ht="19.5">
      <c r="A37" s="60" t="s">
        <v>16</v>
      </c>
      <c r="B37" s="59" t="s">
        <v>115</v>
      </c>
      <c r="C37" s="46"/>
      <c r="D37" s="46">
        <v>76711</v>
      </c>
      <c r="E37" s="46">
        <v>76711</v>
      </c>
      <c r="F37" s="46"/>
      <c r="G37" s="57">
        <v>43421</v>
      </c>
      <c r="H37" s="57"/>
      <c r="I37" s="57"/>
      <c r="J37" s="57"/>
      <c r="K37" s="57"/>
      <c r="L37" s="57">
        <f t="shared" si="0"/>
        <v>-43421</v>
      </c>
    </row>
    <row r="38" spans="1:12" s="5" customFormat="1" ht="20.25" customHeight="1">
      <c r="A38" s="60" t="s">
        <v>16</v>
      </c>
      <c r="B38" s="48" t="s">
        <v>116</v>
      </c>
      <c r="C38" s="46"/>
      <c r="D38" s="46">
        <v>47639</v>
      </c>
      <c r="E38" s="46">
        <f>124350-E37</f>
        <v>47639</v>
      </c>
      <c r="F38" s="46"/>
      <c r="G38" s="57"/>
      <c r="H38" s="57">
        <v>25742</v>
      </c>
      <c r="I38" s="57"/>
      <c r="J38" s="57"/>
      <c r="K38" s="57"/>
      <c r="L38" s="57">
        <f t="shared" si="0"/>
        <v>25742</v>
      </c>
    </row>
    <row r="39" spans="1:12" s="4" customFormat="1" ht="23.25" customHeight="1">
      <c r="A39" s="58" t="s">
        <v>15</v>
      </c>
      <c r="B39" s="53" t="s">
        <v>49</v>
      </c>
      <c r="C39" s="45"/>
      <c r="D39" s="45">
        <v>140620</v>
      </c>
      <c r="E39" s="45">
        <f>50620-11320</f>
        <v>39300</v>
      </c>
      <c r="F39" s="45">
        <f>162700-93500</f>
        <v>69200</v>
      </c>
      <c r="G39" s="47">
        <v>58098</v>
      </c>
      <c r="H39" s="47">
        <f>H40+H41</f>
        <v>64358</v>
      </c>
      <c r="I39" s="47">
        <v>52357</v>
      </c>
      <c r="J39" s="47">
        <v>75142</v>
      </c>
      <c r="K39" s="47"/>
      <c r="L39" s="47">
        <f t="shared" si="0"/>
        <v>6260</v>
      </c>
    </row>
    <row r="40" spans="1:12" s="79" customFormat="1" ht="23.25" customHeight="1">
      <c r="A40" s="75"/>
      <c r="B40" s="81" t="s">
        <v>115</v>
      </c>
      <c r="C40" s="77"/>
      <c r="D40" s="77"/>
      <c r="E40" s="77"/>
      <c r="F40" s="77"/>
      <c r="G40" s="78"/>
      <c r="H40" s="78">
        <v>14000</v>
      </c>
      <c r="I40" s="78"/>
      <c r="J40" s="78"/>
      <c r="K40" s="78"/>
      <c r="L40" s="47">
        <f t="shared" si="0"/>
        <v>14000</v>
      </c>
    </row>
    <row r="41" spans="1:12" s="79" customFormat="1" ht="23.25" customHeight="1">
      <c r="A41" s="75"/>
      <c r="B41" s="71" t="s">
        <v>121</v>
      </c>
      <c r="C41" s="77"/>
      <c r="D41" s="77"/>
      <c r="E41" s="77"/>
      <c r="F41" s="77"/>
      <c r="G41" s="78"/>
      <c r="H41" s="78">
        <v>50358</v>
      </c>
      <c r="I41" s="78"/>
      <c r="J41" s="78"/>
      <c r="K41" s="78"/>
      <c r="L41" s="47">
        <f t="shared" si="0"/>
        <v>50358</v>
      </c>
    </row>
    <row r="42" spans="1:12" s="4" customFormat="1" ht="23.25" customHeight="1">
      <c r="A42" s="58" t="s">
        <v>12</v>
      </c>
      <c r="B42" s="38" t="s">
        <v>60</v>
      </c>
      <c r="C42" s="45"/>
      <c r="D42" s="39">
        <f aca="true" t="shared" si="11" ref="D42:J42">D46</f>
        <v>253660</v>
      </c>
      <c r="E42" s="39">
        <f t="shared" si="11"/>
        <v>0</v>
      </c>
      <c r="F42" s="39">
        <f t="shared" si="11"/>
        <v>5969</v>
      </c>
      <c r="G42" s="42">
        <f t="shared" si="11"/>
        <v>17611</v>
      </c>
      <c r="H42" s="42">
        <f t="shared" si="11"/>
        <v>212500</v>
      </c>
      <c r="I42" s="42" t="e">
        <f t="shared" si="11"/>
        <v>#REF!</v>
      </c>
      <c r="J42" s="42" t="e">
        <f t="shared" si="11"/>
        <v>#REF!</v>
      </c>
      <c r="K42" s="42">
        <f>K46</f>
        <v>0</v>
      </c>
      <c r="L42" s="42">
        <f t="shared" si="0"/>
        <v>194889</v>
      </c>
    </row>
    <row r="43" spans="1:12" s="8" customFormat="1" ht="23.25" customHeight="1">
      <c r="A43" s="58">
        <v>1</v>
      </c>
      <c r="B43" s="38" t="s">
        <v>61</v>
      </c>
      <c r="C43" s="39"/>
      <c r="D43" s="39">
        <f aca="true" t="shared" si="12" ref="D43:J43">D44+D45</f>
        <v>253660</v>
      </c>
      <c r="E43" s="39">
        <f t="shared" si="12"/>
        <v>0</v>
      </c>
      <c r="F43" s="39">
        <f t="shared" si="12"/>
        <v>5969</v>
      </c>
      <c r="G43" s="42">
        <f t="shared" si="12"/>
        <v>17611</v>
      </c>
      <c r="H43" s="42">
        <f t="shared" si="12"/>
        <v>212500</v>
      </c>
      <c r="I43" s="42" t="e">
        <f t="shared" si="12"/>
        <v>#REF!</v>
      </c>
      <c r="J43" s="42" t="e">
        <f t="shared" si="12"/>
        <v>#REF!</v>
      </c>
      <c r="K43" s="42">
        <f>K44+K45</f>
        <v>0</v>
      </c>
      <c r="L43" s="42">
        <f t="shared" si="0"/>
        <v>194889</v>
      </c>
    </row>
    <row r="44" spans="1:12" s="4" customFormat="1" ht="23.25" customHeight="1">
      <c r="A44" s="58" t="s">
        <v>15</v>
      </c>
      <c r="B44" s="53" t="s">
        <v>62</v>
      </c>
      <c r="C44" s="45"/>
      <c r="D44" s="45">
        <v>253660</v>
      </c>
      <c r="E44" s="46"/>
      <c r="F44" s="46">
        <v>5969</v>
      </c>
      <c r="G44" s="57">
        <f>G48</f>
        <v>17611</v>
      </c>
      <c r="H44" s="57">
        <v>212500</v>
      </c>
      <c r="I44" s="57" t="e">
        <f>I48</f>
        <v>#REF!</v>
      </c>
      <c r="J44" s="57" t="e">
        <f>J48</f>
        <v>#REF!</v>
      </c>
      <c r="K44" s="57">
        <f>K48</f>
        <v>0</v>
      </c>
      <c r="L44" s="57">
        <f t="shared" si="0"/>
        <v>194889</v>
      </c>
    </row>
    <row r="45" spans="1:12" s="4" customFormat="1" ht="23.25" customHeight="1">
      <c r="A45" s="58" t="s">
        <v>15</v>
      </c>
      <c r="B45" s="53" t="s">
        <v>63</v>
      </c>
      <c r="C45" s="45"/>
      <c r="D45" s="45"/>
      <c r="E45" s="46"/>
      <c r="F45" s="46"/>
      <c r="G45" s="57"/>
      <c r="H45" s="57"/>
      <c r="I45" s="57"/>
      <c r="J45" s="57"/>
      <c r="K45" s="57"/>
      <c r="L45" s="57"/>
    </row>
    <row r="46" spans="1:12" s="4" customFormat="1" ht="23.25" customHeight="1">
      <c r="A46" s="58">
        <v>2</v>
      </c>
      <c r="B46" s="38" t="s">
        <v>64</v>
      </c>
      <c r="C46" s="45"/>
      <c r="D46" s="39">
        <f aca="true" t="shared" si="13" ref="D46:J46">SUM(D47:D49)</f>
        <v>253660</v>
      </c>
      <c r="E46" s="39">
        <f t="shared" si="13"/>
        <v>0</v>
      </c>
      <c r="F46" s="39">
        <f t="shared" si="13"/>
        <v>5969</v>
      </c>
      <c r="G46" s="42">
        <f t="shared" si="13"/>
        <v>17611</v>
      </c>
      <c r="H46" s="42">
        <f t="shared" si="13"/>
        <v>212500</v>
      </c>
      <c r="I46" s="42" t="e">
        <f t="shared" si="13"/>
        <v>#REF!</v>
      </c>
      <c r="J46" s="42" t="e">
        <f t="shared" si="13"/>
        <v>#REF!</v>
      </c>
      <c r="K46" s="42">
        <f>SUM(K47:K49)</f>
        <v>0</v>
      </c>
      <c r="L46" s="42">
        <f t="shared" si="0"/>
        <v>194889</v>
      </c>
    </row>
    <row r="47" spans="1:12" s="4" customFormat="1" ht="23.25" customHeight="1">
      <c r="A47" s="58" t="s">
        <v>15</v>
      </c>
      <c r="B47" s="53" t="s">
        <v>17</v>
      </c>
      <c r="C47" s="45"/>
      <c r="D47" s="45"/>
      <c r="E47" s="46"/>
      <c r="F47" s="46"/>
      <c r="G47" s="57"/>
      <c r="H47" s="57"/>
      <c r="I47" s="57"/>
      <c r="J47" s="57"/>
      <c r="K47" s="57"/>
      <c r="L47" s="57"/>
    </row>
    <row r="48" spans="1:12" s="4" customFormat="1" ht="23.25" customHeight="1">
      <c r="A48" s="58" t="s">
        <v>15</v>
      </c>
      <c r="B48" s="53" t="s">
        <v>10</v>
      </c>
      <c r="C48" s="45"/>
      <c r="D48" s="45">
        <v>9890</v>
      </c>
      <c r="E48" s="46"/>
      <c r="F48" s="46">
        <v>5969</v>
      </c>
      <c r="G48" s="57">
        <v>17611</v>
      </c>
      <c r="H48" s="57">
        <v>212500</v>
      </c>
      <c r="I48" s="57" t="e">
        <f>+#REF!</f>
        <v>#REF!</v>
      </c>
      <c r="J48" s="57" t="e">
        <f>+#REF!</f>
        <v>#REF!</v>
      </c>
      <c r="K48" s="57"/>
      <c r="L48" s="57">
        <f t="shared" si="0"/>
        <v>194889</v>
      </c>
    </row>
    <row r="49" spans="1:12" s="4" customFormat="1" ht="23.25" customHeight="1">
      <c r="A49" s="58" t="s">
        <v>15</v>
      </c>
      <c r="B49" s="55" t="s">
        <v>111</v>
      </c>
      <c r="C49" s="45"/>
      <c r="D49" s="45">
        <f>D50+D51</f>
        <v>243770</v>
      </c>
      <c r="E49" s="45"/>
      <c r="F49" s="46"/>
      <c r="G49" s="57"/>
      <c r="H49" s="57"/>
      <c r="I49" s="57"/>
      <c r="J49" s="57"/>
      <c r="K49" s="57"/>
      <c r="L49" s="57"/>
    </row>
    <row r="50" spans="1:12" s="74" customFormat="1" ht="45.75" customHeight="1">
      <c r="A50" s="82" t="s">
        <v>16</v>
      </c>
      <c r="B50" s="71" t="s">
        <v>87</v>
      </c>
      <c r="C50" s="72"/>
      <c r="D50" s="72">
        <v>243770</v>
      </c>
      <c r="E50" s="72"/>
      <c r="F50" s="72"/>
      <c r="G50" s="73"/>
      <c r="H50" s="73"/>
      <c r="I50" s="73"/>
      <c r="J50" s="73"/>
      <c r="K50" s="73"/>
      <c r="L50" s="73"/>
    </row>
    <row r="51" spans="1:12" s="74" customFormat="1" ht="23.25" customHeight="1">
      <c r="A51" s="82" t="s">
        <v>16</v>
      </c>
      <c r="B51" s="71" t="s">
        <v>8</v>
      </c>
      <c r="C51" s="72"/>
      <c r="D51" s="72"/>
      <c r="E51" s="72"/>
      <c r="F51" s="72"/>
      <c r="G51" s="73"/>
      <c r="H51" s="73"/>
      <c r="I51" s="73"/>
      <c r="J51" s="73"/>
      <c r="K51" s="73"/>
      <c r="L51" s="73"/>
    </row>
    <row r="52" spans="1:12" s="4" customFormat="1" ht="23.25" customHeight="1">
      <c r="A52" s="37" t="s">
        <v>18</v>
      </c>
      <c r="B52" s="38" t="s">
        <v>19</v>
      </c>
      <c r="C52" s="61" t="e">
        <f>#REF!+#REF!+#REF!</f>
        <v>#REF!</v>
      </c>
      <c r="D52" s="61">
        <f aca="true" t="shared" si="14" ref="D52:J52">D54+D55+D56</f>
        <v>694660</v>
      </c>
      <c r="E52" s="61">
        <f t="shared" si="14"/>
        <v>531000</v>
      </c>
      <c r="F52" s="61">
        <f t="shared" si="14"/>
        <v>385519</v>
      </c>
      <c r="G52" s="42">
        <f t="shared" si="14"/>
        <v>242251</v>
      </c>
      <c r="H52" s="42">
        <f t="shared" si="14"/>
        <v>364651</v>
      </c>
      <c r="I52" s="42" t="e">
        <f t="shared" si="14"/>
        <v>#REF!</v>
      </c>
      <c r="J52" s="42" t="e">
        <f t="shared" si="14"/>
        <v>#REF!</v>
      </c>
      <c r="K52" s="42" t="e">
        <f>K54+K55+K56</f>
        <v>#REF!</v>
      </c>
      <c r="L52" s="42">
        <f t="shared" si="0"/>
        <v>122400</v>
      </c>
    </row>
    <row r="53" spans="1:12" s="5" customFormat="1" ht="43.5" customHeight="1">
      <c r="A53" s="56"/>
      <c r="B53" s="48" t="s">
        <v>88</v>
      </c>
      <c r="C53" s="49" t="e">
        <f aca="true" t="shared" si="15" ref="C53:K53">C52/C13</f>
        <v>#REF!</v>
      </c>
      <c r="D53" s="50">
        <f t="shared" si="15"/>
        <v>0.7057114411687019</v>
      </c>
      <c r="E53" s="50">
        <f t="shared" si="15"/>
        <v>0.5091083413231065</v>
      </c>
      <c r="F53" s="50">
        <f t="shared" si="15"/>
        <v>0.36476351810367896</v>
      </c>
      <c r="G53" s="51">
        <f t="shared" si="15"/>
        <v>0.2153495359670021</v>
      </c>
      <c r="H53" s="51">
        <f t="shared" si="15"/>
        <v>0.3185726516634051</v>
      </c>
      <c r="I53" s="51" t="e">
        <f t="shared" si="15"/>
        <v>#REF!</v>
      </c>
      <c r="J53" s="51" t="e">
        <f t="shared" si="15"/>
        <v>#REF!</v>
      </c>
      <c r="K53" s="51" t="e">
        <f t="shared" si="15"/>
        <v>#REF!</v>
      </c>
      <c r="L53" s="51">
        <f t="shared" si="0"/>
        <v>0.103223115696403</v>
      </c>
    </row>
    <row r="54" spans="1:12" s="5" customFormat="1" ht="23.25" customHeight="1">
      <c r="A54" s="52">
        <v>1</v>
      </c>
      <c r="B54" s="53" t="s">
        <v>17</v>
      </c>
      <c r="C54" s="49"/>
      <c r="D54" s="45"/>
      <c r="E54" s="45"/>
      <c r="F54" s="61"/>
      <c r="G54" s="62"/>
      <c r="H54" s="62"/>
      <c r="I54" s="62"/>
      <c r="J54" s="62"/>
      <c r="K54" s="62"/>
      <c r="L54" s="47"/>
    </row>
    <row r="55" spans="1:12" s="5" customFormat="1" ht="23.25" customHeight="1">
      <c r="A55" s="56">
        <v>2</v>
      </c>
      <c r="B55" s="53" t="s">
        <v>10</v>
      </c>
      <c r="C55" s="49"/>
      <c r="D55" s="45">
        <f aca="true" t="shared" si="16" ref="D55:K55">D18+D48-D25</f>
        <v>9890</v>
      </c>
      <c r="E55" s="45">
        <f t="shared" si="16"/>
        <v>0</v>
      </c>
      <c r="F55" s="45">
        <f t="shared" si="16"/>
        <v>5969</v>
      </c>
      <c r="G55" s="47">
        <f t="shared" si="16"/>
        <v>23580</v>
      </c>
      <c r="H55" s="47">
        <f t="shared" si="16"/>
        <v>236080</v>
      </c>
      <c r="I55" s="47" t="e">
        <f t="shared" si="16"/>
        <v>#REF!</v>
      </c>
      <c r="J55" s="47" t="e">
        <f t="shared" si="16"/>
        <v>#REF!</v>
      </c>
      <c r="K55" s="47" t="e">
        <f t="shared" si="16"/>
        <v>#REF!</v>
      </c>
      <c r="L55" s="47">
        <f t="shared" si="0"/>
        <v>212500</v>
      </c>
    </row>
    <row r="56" spans="1:12" s="5" customFormat="1" ht="23.25" customHeight="1">
      <c r="A56" s="56">
        <v>3</v>
      </c>
      <c r="B56" s="55" t="s">
        <v>112</v>
      </c>
      <c r="C56" s="49"/>
      <c r="D56" s="45">
        <f aca="true" t="shared" si="17" ref="D56:J56">D57+D58</f>
        <v>684770</v>
      </c>
      <c r="E56" s="45">
        <f t="shared" si="17"/>
        <v>531000</v>
      </c>
      <c r="F56" s="45">
        <f t="shared" si="17"/>
        <v>379550</v>
      </c>
      <c r="G56" s="47">
        <f t="shared" si="17"/>
        <v>218671</v>
      </c>
      <c r="H56" s="47">
        <f>H57+H58</f>
        <v>128571</v>
      </c>
      <c r="I56" s="47">
        <f t="shared" si="17"/>
        <v>38512</v>
      </c>
      <c r="J56" s="47">
        <f t="shared" si="17"/>
        <v>-51547</v>
      </c>
      <c r="K56" s="47">
        <f>K57+K58</f>
        <v>-51547</v>
      </c>
      <c r="L56" s="47">
        <f t="shared" si="0"/>
        <v>-90100</v>
      </c>
    </row>
    <row r="57" spans="1:12" s="74" customFormat="1" ht="44.25" customHeight="1">
      <c r="A57" s="70" t="s">
        <v>15</v>
      </c>
      <c r="B57" s="71" t="s">
        <v>87</v>
      </c>
      <c r="C57" s="83"/>
      <c r="D57" s="72">
        <f>D20+D50-D36</f>
        <v>433743</v>
      </c>
      <c r="E57" s="72">
        <f>E20+E50-E36</f>
        <v>189973</v>
      </c>
      <c r="F57" s="72">
        <f aca="true" t="shared" si="18" ref="F57:K58">F20+F50-F28</f>
        <v>98523</v>
      </c>
      <c r="G57" s="73">
        <f t="shared" si="18"/>
        <v>25742</v>
      </c>
      <c r="H57" s="73">
        <f t="shared" si="18"/>
        <v>0</v>
      </c>
      <c r="I57" s="73">
        <f t="shared" si="18"/>
        <v>-37702</v>
      </c>
      <c r="J57" s="73">
        <f t="shared" si="18"/>
        <v>-37702</v>
      </c>
      <c r="K57" s="73">
        <f t="shared" si="18"/>
        <v>-37702</v>
      </c>
      <c r="L57" s="73">
        <f t="shared" si="0"/>
        <v>-25742</v>
      </c>
    </row>
    <row r="58" spans="1:12" s="74" customFormat="1" ht="23.25" customHeight="1">
      <c r="A58" s="70" t="s">
        <v>15</v>
      </c>
      <c r="B58" s="71" t="s">
        <v>8</v>
      </c>
      <c r="C58" s="83"/>
      <c r="D58" s="72">
        <f>D21+D51-D39</f>
        <v>251027</v>
      </c>
      <c r="E58" s="72">
        <f>E21+E51-E39-11320</f>
        <v>341027</v>
      </c>
      <c r="F58" s="72">
        <f t="shared" si="18"/>
        <v>281027</v>
      </c>
      <c r="G58" s="73">
        <f t="shared" si="18"/>
        <v>192929</v>
      </c>
      <c r="H58" s="73">
        <f t="shared" si="18"/>
        <v>128571</v>
      </c>
      <c r="I58" s="73">
        <f t="shared" si="18"/>
        <v>76214</v>
      </c>
      <c r="J58" s="73">
        <f t="shared" si="18"/>
        <v>-13845</v>
      </c>
      <c r="K58" s="73">
        <f t="shared" si="18"/>
        <v>-13845</v>
      </c>
      <c r="L58" s="73">
        <f t="shared" si="0"/>
        <v>-64358</v>
      </c>
    </row>
    <row r="59" spans="1:12" s="4" customFormat="1" ht="23.25" customHeight="1">
      <c r="A59" s="37" t="s">
        <v>67</v>
      </c>
      <c r="B59" s="38" t="s">
        <v>68</v>
      </c>
      <c r="C59" s="39">
        <f aca="true" t="shared" si="19" ref="C59:I59">SUM(C60:C62)</f>
        <v>712</v>
      </c>
      <c r="D59" s="39">
        <f t="shared" si="19"/>
        <v>198</v>
      </c>
      <c r="E59" s="43">
        <f t="shared" si="19"/>
        <v>0</v>
      </c>
      <c r="F59" s="39" t="e">
        <f t="shared" si="19"/>
        <v>#REF!</v>
      </c>
      <c r="G59" s="42" t="e">
        <f>SUM(G60:G62)</f>
        <v>#REF!</v>
      </c>
      <c r="H59" s="42">
        <f t="shared" si="19"/>
        <v>16700</v>
      </c>
      <c r="I59" s="42" t="e">
        <f t="shared" si="19"/>
        <v>#REF!</v>
      </c>
      <c r="J59" s="42" t="e">
        <f>SUM(J60:J62)</f>
        <v>#REF!</v>
      </c>
      <c r="K59" s="42" t="e">
        <f>SUM(K60:K62)</f>
        <v>#REF!</v>
      </c>
      <c r="L59" s="42" t="e">
        <f t="shared" si="0"/>
        <v>#REF!</v>
      </c>
    </row>
    <row r="60" spans="1:12" s="4" customFormat="1" ht="23.25" customHeight="1">
      <c r="A60" s="52">
        <v>1</v>
      </c>
      <c r="B60" s="53" t="s">
        <v>17</v>
      </c>
      <c r="C60" s="45"/>
      <c r="D60" s="45"/>
      <c r="E60" s="46"/>
      <c r="F60" s="45"/>
      <c r="G60" s="47"/>
      <c r="H60" s="47"/>
      <c r="I60" s="47"/>
      <c r="J60" s="47"/>
      <c r="K60" s="47"/>
      <c r="L60" s="47"/>
    </row>
    <row r="61" spans="1:12" s="4" customFormat="1" ht="23.25" customHeight="1">
      <c r="A61" s="52">
        <v>2</v>
      </c>
      <c r="B61" s="53" t="s">
        <v>10</v>
      </c>
      <c r="C61" s="45">
        <v>712</v>
      </c>
      <c r="D61" s="45">
        <v>198</v>
      </c>
      <c r="E61" s="46">
        <v>0</v>
      </c>
      <c r="F61" s="45" t="e">
        <f>PL02!#REF!</f>
        <v>#REF!</v>
      </c>
      <c r="G61" s="47" t="e">
        <f>PL02!#REF!</f>
        <v>#REF!</v>
      </c>
      <c r="H61" s="47">
        <f>PL02!X11</f>
        <v>16700</v>
      </c>
      <c r="I61" s="47" t="e">
        <f>+#REF!</f>
        <v>#REF!</v>
      </c>
      <c r="J61" s="47" t="e">
        <f>+#REF!</f>
        <v>#REF!</v>
      </c>
      <c r="K61" s="47" t="e">
        <f>+#REF!</f>
        <v>#REF!</v>
      </c>
      <c r="L61" s="47" t="e">
        <f t="shared" si="0"/>
        <v>#REF!</v>
      </c>
    </row>
    <row r="62" spans="1:12" s="4" customFormat="1" ht="23.25" customHeight="1">
      <c r="A62" s="63">
        <v>3</v>
      </c>
      <c r="B62" s="64" t="s">
        <v>57</v>
      </c>
      <c r="C62" s="65"/>
      <c r="D62" s="65"/>
      <c r="E62" s="66"/>
      <c r="F62" s="65"/>
      <c r="G62" s="67"/>
      <c r="H62" s="67"/>
      <c r="I62" s="67"/>
      <c r="J62" s="67"/>
      <c r="K62" s="67"/>
      <c r="L62" s="68"/>
    </row>
    <row r="63" spans="1:12" ht="66" customHeight="1">
      <c r="A63" s="185" t="s">
        <v>95</v>
      </c>
      <c r="B63" s="185"/>
      <c r="C63" s="185"/>
      <c r="D63" s="185"/>
      <c r="E63" s="185"/>
      <c r="F63" s="185"/>
      <c r="G63" s="185"/>
      <c r="H63" s="185"/>
      <c r="I63" s="185"/>
      <c r="J63" s="185"/>
      <c r="K63" s="185"/>
      <c r="L63" s="185"/>
    </row>
    <row r="64" ht="15.75" hidden="1">
      <c r="G64" s="25" t="s">
        <v>81</v>
      </c>
    </row>
    <row r="65" spans="2:7" ht="15.75" hidden="1">
      <c r="B65" s="10" t="s">
        <v>75</v>
      </c>
      <c r="G65" s="10" t="s">
        <v>77</v>
      </c>
    </row>
    <row r="66" spans="2:7" ht="15.75" hidden="1">
      <c r="B66" s="10"/>
      <c r="G66" s="10"/>
    </row>
    <row r="67" spans="2:7" ht="15.75" hidden="1">
      <c r="B67" s="10"/>
      <c r="G67" s="10"/>
    </row>
    <row r="68" spans="2:7" ht="15.75" hidden="1">
      <c r="B68" s="10"/>
      <c r="G68" s="10"/>
    </row>
    <row r="69" spans="2:7" ht="15.75" hidden="1">
      <c r="B69" s="10"/>
      <c r="G69" s="10"/>
    </row>
    <row r="70" spans="2:7" ht="15.75" hidden="1">
      <c r="B70" s="10" t="s">
        <v>76</v>
      </c>
      <c r="G70" s="10" t="s">
        <v>80</v>
      </c>
    </row>
  </sheetData>
  <sheetProtection/>
  <mergeCells count="18">
    <mergeCell ref="A63:L63"/>
    <mergeCell ref="A6:A7"/>
    <mergeCell ref="B6:B7"/>
    <mergeCell ref="C6:C7"/>
    <mergeCell ref="D6:E6"/>
    <mergeCell ref="F6:F7"/>
    <mergeCell ref="G6:G7"/>
    <mergeCell ref="H6:H7"/>
    <mergeCell ref="I6:I7"/>
    <mergeCell ref="J6:J7"/>
    <mergeCell ref="K6:K7"/>
    <mergeCell ref="A1:B1"/>
    <mergeCell ref="F1:L1"/>
    <mergeCell ref="A2:L2"/>
    <mergeCell ref="A3:L3"/>
    <mergeCell ref="A4:L4"/>
    <mergeCell ref="E5:L5"/>
    <mergeCell ref="L6:L7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NGOC_U</cp:lastModifiedBy>
  <cp:lastPrinted>2020-12-07T01:33:52Z</cp:lastPrinted>
  <dcterms:created xsi:type="dcterms:W3CDTF">2017-07-17T01:07:05Z</dcterms:created>
  <dcterms:modified xsi:type="dcterms:W3CDTF">2020-12-07T03:45:38Z</dcterms:modified>
  <cp:category/>
  <cp:version/>
  <cp:contentType/>
  <cp:contentStatus/>
</cp:coreProperties>
</file>